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329e7975c90f27/Documents/TechBreakdowns/"/>
    </mc:Choice>
  </mc:AlternateContent>
  <xr:revisionPtr revIDLastSave="787" documentId="8_{1213C280-7B36-2240-B980-599638F74E82}" xr6:coauthVersionLast="47" xr6:coauthVersionMax="47" xr10:uidLastSave="{185BB2E6-FE3D-C44D-9DCE-2495597A4573}"/>
  <bookViews>
    <workbookView xWindow="0" yWindow="500" windowWidth="22140" windowHeight="19380" activeTab="2" xr2:uid="{8FE87088-8B3F-7940-9545-F3857EC14938}"/>
  </bookViews>
  <sheets>
    <sheet name="Model" sheetId="1" r:id="rId1"/>
    <sheet name="Valuation" sheetId="2" r:id="rId2"/>
    <sheet name="KPIs" sheetId="3" r:id="rId3"/>
    <sheet name="Simple Mod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F8" i="4"/>
  <c r="D8" i="4"/>
  <c r="D45" i="4"/>
  <c r="E45" i="4"/>
  <c r="F45" i="4"/>
  <c r="D46" i="4"/>
  <c r="E46" i="4"/>
  <c r="F46" i="4"/>
  <c r="D47" i="4"/>
  <c r="E47" i="4"/>
  <c r="F47" i="4"/>
  <c r="C47" i="4"/>
  <c r="C46" i="4"/>
  <c r="C45" i="4"/>
  <c r="D44" i="4"/>
  <c r="E44" i="4"/>
  <c r="F44" i="4"/>
  <c r="C44" i="4"/>
  <c r="D40" i="4"/>
  <c r="E40" i="4"/>
  <c r="F40" i="4"/>
  <c r="D41" i="4"/>
  <c r="E41" i="4"/>
  <c r="F41" i="4"/>
  <c r="D42" i="4"/>
  <c r="E42" i="4"/>
  <c r="F42" i="4"/>
  <c r="C42" i="4"/>
  <c r="C41" i="4"/>
  <c r="C40" i="4"/>
  <c r="C39" i="4"/>
  <c r="D34" i="4"/>
  <c r="D39" i="4" s="1"/>
  <c r="E34" i="4"/>
  <c r="E39" i="4" s="1"/>
  <c r="F34" i="4"/>
  <c r="F39" i="4" s="1"/>
  <c r="C34" i="4"/>
  <c r="E32" i="4"/>
  <c r="F32" i="4"/>
  <c r="D32" i="4"/>
  <c r="D27" i="4"/>
  <c r="E27" i="4"/>
  <c r="F27" i="4"/>
  <c r="C27" i="4"/>
  <c r="D29" i="4"/>
  <c r="E29" i="4"/>
  <c r="F29" i="4"/>
  <c r="C29" i="4"/>
  <c r="C159" i="1"/>
  <c r="C158" i="1"/>
  <c r="G20" i="4"/>
  <c r="H20" i="4" s="1"/>
  <c r="I20" i="4" s="1"/>
  <c r="J20" i="4" s="1"/>
  <c r="K20" i="4" s="1"/>
  <c r="E21" i="4"/>
  <c r="F21" i="4"/>
  <c r="D21" i="4"/>
  <c r="H18" i="4"/>
  <c r="I18" i="4"/>
  <c r="J18" i="4"/>
  <c r="K18" i="4"/>
  <c r="G18" i="4"/>
  <c r="D19" i="4"/>
  <c r="E19" i="4"/>
  <c r="F19" i="4"/>
  <c r="C19" i="4"/>
  <c r="C71" i="1"/>
  <c r="G16" i="4"/>
  <c r="H16" i="4" s="1"/>
  <c r="I16" i="4" s="1"/>
  <c r="J16" i="4" s="1"/>
  <c r="K16" i="4" s="1"/>
  <c r="D17" i="4"/>
  <c r="E17" i="4"/>
  <c r="F17" i="4"/>
  <c r="C15" i="4"/>
  <c r="D15" i="4"/>
  <c r="E15" i="4"/>
  <c r="F15" i="4"/>
  <c r="C12" i="4"/>
  <c r="D12" i="4"/>
  <c r="E12" i="4"/>
  <c r="F12" i="4"/>
  <c r="C10" i="4"/>
  <c r="D10" i="4"/>
  <c r="E10" i="4"/>
  <c r="F10" i="4"/>
  <c r="G5" i="4"/>
  <c r="H5" i="4" s="1"/>
  <c r="I5" i="4" s="1"/>
  <c r="J5" i="4" s="1"/>
  <c r="K5" i="4" s="1"/>
  <c r="K9" i="4" s="1"/>
  <c r="K11" i="4" s="1"/>
  <c r="K13" i="4" s="1"/>
  <c r="F6" i="4"/>
  <c r="D6" i="4"/>
  <c r="E6" i="4"/>
  <c r="G135" i="1"/>
  <c r="F154" i="1"/>
  <c r="D133" i="1"/>
  <c r="E133" i="1"/>
  <c r="F133" i="1"/>
  <c r="C133" i="1"/>
  <c r="F123" i="1"/>
  <c r="F121" i="1"/>
  <c r="F119" i="1"/>
  <c r="F100" i="1"/>
  <c r="D93" i="1"/>
  <c r="E93" i="1"/>
  <c r="F93" i="1"/>
  <c r="C93" i="1"/>
  <c r="F85" i="1"/>
  <c r="F71" i="1"/>
  <c r="F48" i="1"/>
  <c r="F46" i="1"/>
  <c r="F22" i="1"/>
  <c r="F25" i="1"/>
  <c r="G24" i="1"/>
  <c r="F60" i="1"/>
  <c r="F73" i="1"/>
  <c r="F70" i="1"/>
  <c r="F68" i="1"/>
  <c r="F63" i="1"/>
  <c r="F62" i="1"/>
  <c r="D64" i="1"/>
  <c r="J14" i="4" l="1"/>
  <c r="I14" i="4"/>
  <c r="G14" i="4"/>
  <c r="K14" i="4"/>
  <c r="K7" i="4" s="1"/>
  <c r="H14" i="4"/>
  <c r="J9" i="4"/>
  <c r="J11" i="4" s="1"/>
  <c r="J13" i="4" s="1"/>
  <c r="I9" i="4"/>
  <c r="I11" i="4" s="1"/>
  <c r="I13" i="4" s="1"/>
  <c r="H9" i="4"/>
  <c r="H11" i="4" s="1"/>
  <c r="H13" i="4" s="1"/>
  <c r="B2" i="3"/>
  <c r="H7" i="4" l="1"/>
  <c r="H26" i="4" s="1"/>
  <c r="J7" i="4"/>
  <c r="K26" i="4"/>
  <c r="K28" i="4"/>
  <c r="I7" i="4"/>
  <c r="I8" i="4" s="1"/>
  <c r="H27" i="2"/>
  <c r="K39" i="1"/>
  <c r="K117" i="1"/>
  <c r="K120" i="1"/>
  <c r="K122" i="1"/>
  <c r="K126" i="1"/>
  <c r="K135" i="1"/>
  <c r="K136" i="1"/>
  <c r="K146" i="1"/>
  <c r="K150" i="1"/>
  <c r="H28" i="4" l="1"/>
  <c r="J8" i="4"/>
  <c r="K8" i="4"/>
  <c r="I26" i="4"/>
  <c r="I28" i="4"/>
  <c r="J26" i="4"/>
  <c r="J28" i="4"/>
  <c r="D100" i="1"/>
  <c r="E100" i="1"/>
  <c r="C100" i="1"/>
  <c r="G97" i="1"/>
  <c r="H97" i="1" s="1"/>
  <c r="I97" i="1" s="1"/>
  <c r="J97" i="1" s="1"/>
  <c r="K97" i="1" s="1"/>
  <c r="D85" i="1"/>
  <c r="E85" i="1"/>
  <c r="C85" i="1"/>
  <c r="F150" i="1"/>
  <c r="G150" i="1"/>
  <c r="H150" i="1"/>
  <c r="I150" i="1"/>
  <c r="J150" i="1"/>
  <c r="F146" i="1"/>
  <c r="G146" i="1"/>
  <c r="H146" i="1"/>
  <c r="I146" i="1"/>
  <c r="J146" i="1"/>
  <c r="F136" i="1"/>
  <c r="G136" i="1"/>
  <c r="H136" i="1"/>
  <c r="I136" i="1"/>
  <c r="J136" i="1"/>
  <c r="F135" i="1"/>
  <c r="H135" i="1"/>
  <c r="I135" i="1"/>
  <c r="J135" i="1"/>
  <c r="G126" i="1"/>
  <c r="H126" i="1"/>
  <c r="I126" i="1"/>
  <c r="J126" i="1"/>
  <c r="G122" i="1" l="1"/>
  <c r="H122" i="1"/>
  <c r="I122" i="1"/>
  <c r="J122" i="1"/>
  <c r="G120" i="1"/>
  <c r="H120" i="1"/>
  <c r="I120" i="1"/>
  <c r="J120" i="1"/>
  <c r="E123" i="1"/>
  <c r="D123" i="1"/>
  <c r="E121" i="1"/>
  <c r="D121" i="1"/>
  <c r="G118" i="1"/>
  <c r="E119" i="1"/>
  <c r="D119" i="1"/>
  <c r="G81" i="1"/>
  <c r="H81" i="1" s="1"/>
  <c r="I81" i="1" s="1"/>
  <c r="J81" i="1" s="1"/>
  <c r="K81" i="1" s="1"/>
  <c r="G80" i="1"/>
  <c r="H80" i="1" s="1"/>
  <c r="I80" i="1" s="1"/>
  <c r="J80" i="1" s="1"/>
  <c r="K80" i="1" s="1"/>
  <c r="G87" i="1" l="1"/>
  <c r="H118" i="1" s="1"/>
  <c r="G133" i="1"/>
  <c r="G47" i="1"/>
  <c r="H47" i="1" s="1"/>
  <c r="I47" i="1" s="1"/>
  <c r="J47" i="1" s="1"/>
  <c r="K47" i="1" s="1"/>
  <c r="H13" i="2" s="1"/>
  <c r="E48" i="1"/>
  <c r="D48" i="1"/>
  <c r="E46" i="1"/>
  <c r="D46" i="1"/>
  <c r="F39" i="1"/>
  <c r="F117" i="1" s="1"/>
  <c r="G39" i="1"/>
  <c r="G117" i="1" s="1"/>
  <c r="H39" i="1"/>
  <c r="H117" i="1" s="1"/>
  <c r="I39" i="1"/>
  <c r="I117" i="1" s="1"/>
  <c r="J39" i="1"/>
  <c r="J117" i="1" s="1"/>
  <c r="E25" i="1"/>
  <c r="D25" i="1"/>
  <c r="D26" i="1"/>
  <c r="E26" i="1"/>
  <c r="C26" i="1"/>
  <c r="G21" i="1"/>
  <c r="H21" i="1" s="1"/>
  <c r="I21" i="1" s="1"/>
  <c r="J21" i="1" s="1"/>
  <c r="K21" i="1" s="1"/>
  <c r="E22" i="1"/>
  <c r="D22" i="1"/>
  <c r="H87" i="1" l="1"/>
  <c r="G45" i="1"/>
  <c r="F26" i="1"/>
  <c r="I118" i="1" l="1"/>
  <c r="I87" i="1"/>
  <c r="J118" i="1" s="1"/>
  <c r="H45" i="1"/>
  <c r="G49" i="1"/>
  <c r="H24" i="1"/>
  <c r="G26" i="1"/>
  <c r="J87" i="1" l="1"/>
  <c r="K118" i="1" s="1"/>
  <c r="I45" i="1"/>
  <c r="H49" i="1"/>
  <c r="H26" i="1"/>
  <c r="I24" i="1"/>
  <c r="K87" i="1" l="1"/>
  <c r="J45" i="1"/>
  <c r="I49" i="1"/>
  <c r="J24" i="1"/>
  <c r="K24" i="1" s="1"/>
  <c r="K26" i="1" s="1"/>
  <c r="I26" i="1"/>
  <c r="J49" i="1" l="1"/>
  <c r="K45" i="1"/>
  <c r="J26" i="1"/>
  <c r="H12" i="2" l="1"/>
  <c r="K49" i="1"/>
  <c r="H14" i="2" s="1"/>
  <c r="D71" i="1"/>
  <c r="E71" i="1"/>
  <c r="G72" i="1"/>
  <c r="H72" i="1" s="1"/>
  <c r="I72" i="1" s="1"/>
  <c r="J72" i="1" s="1"/>
  <c r="K72" i="1" s="1"/>
  <c r="G67" i="1"/>
  <c r="H67" i="1" s="1"/>
  <c r="I67" i="1" s="1"/>
  <c r="J67" i="1" s="1"/>
  <c r="K67" i="1" s="1"/>
  <c r="E64" i="1"/>
  <c r="E66" i="1" s="1"/>
  <c r="E63" i="1"/>
  <c r="C150" i="1"/>
  <c r="E150" i="1"/>
  <c r="D150" i="1"/>
  <c r="D146" i="1"/>
  <c r="E146" i="1"/>
  <c r="C146" i="1"/>
  <c r="D136" i="1"/>
  <c r="E136" i="1"/>
  <c r="C136" i="1"/>
  <c r="E135" i="1"/>
  <c r="C135" i="1"/>
  <c r="D135" i="1"/>
  <c r="F114" i="1"/>
  <c r="G114" i="1" s="1"/>
  <c r="H114" i="1" s="1"/>
  <c r="I114" i="1" s="1"/>
  <c r="J114" i="1" s="1"/>
  <c r="K114" i="1" s="1"/>
  <c r="F113" i="1"/>
  <c r="G113" i="1" s="1"/>
  <c r="H113" i="1" s="1"/>
  <c r="I113" i="1" s="1"/>
  <c r="J113" i="1" s="1"/>
  <c r="K113" i="1" s="1"/>
  <c r="D113" i="1"/>
  <c r="C113" i="1" s="1"/>
  <c r="F77" i="1"/>
  <c r="G77" i="1" s="1"/>
  <c r="H77" i="1" s="1"/>
  <c r="I77" i="1" s="1"/>
  <c r="J77" i="1" s="1"/>
  <c r="K77" i="1" s="1"/>
  <c r="F76" i="1"/>
  <c r="G76" i="1" s="1"/>
  <c r="H76" i="1" s="1"/>
  <c r="I76" i="1" s="1"/>
  <c r="J76" i="1" s="1"/>
  <c r="K76" i="1" s="1"/>
  <c r="D76" i="1"/>
  <c r="C76" i="1" s="1"/>
  <c r="D66" i="1"/>
  <c r="C64" i="1"/>
  <c r="C66" i="1" s="1"/>
  <c r="E70" i="1"/>
  <c r="E73" i="1"/>
  <c r="D73" i="1"/>
  <c r="D70" i="1"/>
  <c r="E68" i="1"/>
  <c r="D68" i="1"/>
  <c r="D63" i="1"/>
  <c r="C63" i="1"/>
  <c r="D62" i="1"/>
  <c r="E62" i="1"/>
  <c r="E60" i="1"/>
  <c r="D60" i="1"/>
  <c r="F57" i="1"/>
  <c r="G57" i="1" s="1"/>
  <c r="H57" i="1" s="1"/>
  <c r="I57" i="1" s="1"/>
  <c r="J57" i="1" s="1"/>
  <c r="K57" i="1" s="1"/>
  <c r="F56" i="1"/>
  <c r="G56" i="1" s="1"/>
  <c r="H56" i="1" s="1"/>
  <c r="I56" i="1" s="1"/>
  <c r="J56" i="1" s="1"/>
  <c r="K56" i="1" s="1"/>
  <c r="D56" i="1"/>
  <c r="C56" i="1" s="1"/>
  <c r="C18" i="1"/>
  <c r="C39" i="1"/>
  <c r="C117" i="1" s="1"/>
  <c r="C49" i="1"/>
  <c r="E49" i="1"/>
  <c r="D49" i="1"/>
  <c r="D39" i="1"/>
  <c r="D117" i="1" s="1"/>
  <c r="E39" i="1"/>
  <c r="E117" i="1" s="1"/>
  <c r="E18" i="1"/>
  <c r="D18" i="1"/>
  <c r="F13" i="1"/>
  <c r="G13" i="1" s="1"/>
  <c r="H13" i="1" s="1"/>
  <c r="I13" i="1" s="1"/>
  <c r="J13" i="1" s="1"/>
  <c r="K13" i="1" s="1"/>
  <c r="F12" i="1"/>
  <c r="D12" i="1"/>
  <c r="C12" i="1" s="1"/>
  <c r="C33" i="1" l="1"/>
  <c r="C102" i="1"/>
  <c r="C105" i="1" s="1"/>
  <c r="G12" i="1"/>
  <c r="C2" i="2"/>
  <c r="D102" i="1"/>
  <c r="D105" i="1" s="1"/>
  <c r="D83" i="1"/>
  <c r="E102" i="1"/>
  <c r="E105" i="1" s="1"/>
  <c r="E109" i="1" s="1"/>
  <c r="E83" i="1"/>
  <c r="H12" i="1"/>
  <c r="D2" i="2"/>
  <c r="G59" i="1"/>
  <c r="G61" i="1" s="1"/>
  <c r="G64" i="1" s="1"/>
  <c r="D33" i="1"/>
  <c r="D34" i="1" s="1"/>
  <c r="E33" i="1"/>
  <c r="E34" i="1" s="1"/>
  <c r="E65" i="1"/>
  <c r="D109" i="1"/>
  <c r="G69" i="1"/>
  <c r="C65" i="1"/>
  <c r="D65" i="1"/>
  <c r="C109" i="1"/>
  <c r="C35" i="1"/>
  <c r="E31" i="1"/>
  <c r="C31" i="1"/>
  <c r="D31" i="1"/>
  <c r="D19" i="1"/>
  <c r="E19" i="1"/>
  <c r="C20" i="1"/>
  <c r="E20" i="1"/>
  <c r="D20" i="1"/>
  <c r="C29" i="1"/>
  <c r="E29" i="1"/>
  <c r="C27" i="1"/>
  <c r="D29" i="1"/>
  <c r="D27" i="1"/>
  <c r="E27" i="1"/>
  <c r="C23" i="1"/>
  <c r="E23" i="1"/>
  <c r="D23" i="1"/>
  <c r="C40" i="1"/>
  <c r="C138" i="1" s="1"/>
  <c r="D40" i="1" l="1"/>
  <c r="C34" i="1"/>
  <c r="C156" i="1"/>
  <c r="I12" i="1"/>
  <c r="E2" i="2"/>
  <c r="G99" i="1"/>
  <c r="G15" i="1"/>
  <c r="E40" i="1"/>
  <c r="E138" i="1" s="1"/>
  <c r="G129" i="1"/>
  <c r="D35" i="1"/>
  <c r="E35" i="1"/>
  <c r="D156" i="1"/>
  <c r="D157" i="1" s="1"/>
  <c r="E156" i="1"/>
  <c r="E158" i="1" s="1"/>
  <c r="E159" i="1" s="1"/>
  <c r="H59" i="1"/>
  <c r="H99" i="1" s="1"/>
  <c r="G84" i="1"/>
  <c r="G128" i="1" s="1"/>
  <c r="D116" i="1"/>
  <c r="D138" i="1"/>
  <c r="H69" i="1"/>
  <c r="G17" i="1"/>
  <c r="G62" i="1"/>
  <c r="C42" i="1"/>
  <c r="C116" i="1"/>
  <c r="D43" i="1"/>
  <c r="D51" i="1" s="1"/>
  <c r="D42" i="1"/>
  <c r="E43" i="1"/>
  <c r="E51" i="1" s="1"/>
  <c r="E42" i="1"/>
  <c r="C43" i="1"/>
  <c r="D139" i="1" l="1"/>
  <c r="D154" i="1" s="1"/>
  <c r="C139" i="1"/>
  <c r="C154" i="1" s="1"/>
  <c r="C157" i="1"/>
  <c r="E116" i="1"/>
  <c r="J12" i="1"/>
  <c r="F2" i="2"/>
  <c r="D158" i="1"/>
  <c r="D159" i="1" s="1"/>
  <c r="H129" i="1"/>
  <c r="E157" i="1"/>
  <c r="I59" i="1"/>
  <c r="I99" i="1" s="1"/>
  <c r="H84" i="1"/>
  <c r="H128" i="1" s="1"/>
  <c r="H61" i="1"/>
  <c r="H62" i="1" s="1"/>
  <c r="G16" i="1"/>
  <c r="G66" i="1"/>
  <c r="I69" i="1"/>
  <c r="H17" i="1"/>
  <c r="D52" i="1"/>
  <c r="E52" i="1"/>
  <c r="C51" i="1"/>
  <c r="C52" i="1"/>
  <c r="E139" i="1" l="1"/>
  <c r="E154" i="1" s="1"/>
  <c r="G2" i="2"/>
  <c r="K12" i="1"/>
  <c r="H2" i="2" s="1"/>
  <c r="I129" i="1"/>
  <c r="G18" i="1"/>
  <c r="G101" i="1"/>
  <c r="H64" i="1"/>
  <c r="H16" i="1" s="1"/>
  <c r="H101" i="1" s="1"/>
  <c r="H15" i="1"/>
  <c r="J59" i="1"/>
  <c r="I84" i="1"/>
  <c r="I128" i="1" s="1"/>
  <c r="I61" i="1"/>
  <c r="J69" i="1"/>
  <c r="K69" i="1" s="1"/>
  <c r="K17" i="1" s="1"/>
  <c r="I17" i="1"/>
  <c r="G82" i="1" l="1"/>
  <c r="B13" i="2"/>
  <c r="B14" i="2"/>
  <c r="G23" i="1"/>
  <c r="J99" i="1"/>
  <c r="J129" i="1" s="1"/>
  <c r="K59" i="1"/>
  <c r="H18" i="1"/>
  <c r="H19" i="1" s="1"/>
  <c r="H66" i="1"/>
  <c r="G20" i="1"/>
  <c r="H130" i="1"/>
  <c r="H105" i="1"/>
  <c r="G105" i="1"/>
  <c r="G27" i="1"/>
  <c r="G28" i="1"/>
  <c r="G30" i="1"/>
  <c r="I62" i="1"/>
  <c r="I64" i="1"/>
  <c r="I16" i="1" s="1"/>
  <c r="I101" i="1" s="1"/>
  <c r="I15" i="1"/>
  <c r="J61" i="1"/>
  <c r="J15" i="1" s="1"/>
  <c r="J84" i="1"/>
  <c r="J128" i="1" s="1"/>
  <c r="J17" i="1"/>
  <c r="H27" i="1" l="1"/>
  <c r="H28" i="1"/>
  <c r="H30" i="1"/>
  <c r="H23" i="1"/>
  <c r="H82" i="1"/>
  <c r="H127" i="1" s="1"/>
  <c r="H20" i="1"/>
  <c r="K84" i="1"/>
  <c r="K128" i="1" s="1"/>
  <c r="K61" i="1"/>
  <c r="K99" i="1"/>
  <c r="K129" i="1" s="1"/>
  <c r="G33" i="1"/>
  <c r="G40" i="1" s="1"/>
  <c r="G116" i="1" s="1"/>
  <c r="I130" i="1"/>
  <c r="I105" i="1"/>
  <c r="I18" i="1"/>
  <c r="I27" i="1" s="1"/>
  <c r="J64" i="1"/>
  <c r="J16" i="1" s="1"/>
  <c r="J101" i="1" s="1"/>
  <c r="J62" i="1"/>
  <c r="I66" i="1"/>
  <c r="H33" i="1" l="1"/>
  <c r="H40" i="1" s="1"/>
  <c r="G35" i="1"/>
  <c r="G41" i="1"/>
  <c r="G43" i="1" s="1"/>
  <c r="G34" i="1"/>
  <c r="G156" i="1"/>
  <c r="G158" i="1" s="1"/>
  <c r="G159" i="1" s="1"/>
  <c r="G137" i="1"/>
  <c r="K15" i="1"/>
  <c r="K64" i="1"/>
  <c r="K16" i="1" s="1"/>
  <c r="K101" i="1" s="1"/>
  <c r="K130" i="1" s="1"/>
  <c r="K62" i="1"/>
  <c r="J130" i="1"/>
  <c r="J105" i="1"/>
  <c r="J66" i="1"/>
  <c r="J18" i="1"/>
  <c r="J27" i="1" s="1"/>
  <c r="I82" i="1"/>
  <c r="I127" i="1" s="1"/>
  <c r="I20" i="1"/>
  <c r="I19" i="1"/>
  <c r="I28" i="1"/>
  <c r="I23" i="1"/>
  <c r="I30" i="1"/>
  <c r="H116" i="1"/>
  <c r="H133" i="1" s="1"/>
  <c r="H137" i="1"/>
  <c r="H34" i="1"/>
  <c r="H156" i="1"/>
  <c r="H35" i="1"/>
  <c r="G51" i="1"/>
  <c r="G52" i="1"/>
  <c r="H41" i="1"/>
  <c r="H43" i="1" s="1"/>
  <c r="G157" i="1" l="1"/>
  <c r="K66" i="1"/>
  <c r="D4" i="2"/>
  <c r="D6" i="2" s="1"/>
  <c r="K18" i="1"/>
  <c r="K19" i="1" s="1"/>
  <c r="J19" i="1"/>
  <c r="K105" i="1"/>
  <c r="J82" i="1"/>
  <c r="J127" i="1" s="1"/>
  <c r="J20" i="1"/>
  <c r="J28" i="1"/>
  <c r="J30" i="1"/>
  <c r="J23" i="1"/>
  <c r="I33" i="1"/>
  <c r="H139" i="1"/>
  <c r="H154" i="1" s="1"/>
  <c r="H158" i="1"/>
  <c r="H157" i="1"/>
  <c r="H51" i="1"/>
  <c r="H52" i="1"/>
  <c r="K23" i="1" l="1"/>
  <c r="K28" i="1"/>
  <c r="K30" i="1"/>
  <c r="K20" i="1"/>
  <c r="K27" i="1"/>
  <c r="K82" i="1"/>
  <c r="K127" i="1" s="1"/>
  <c r="H159" i="1"/>
  <c r="E4" i="2"/>
  <c r="E6" i="2" s="1"/>
  <c r="J33" i="1"/>
  <c r="I156" i="1"/>
  <c r="I34" i="1"/>
  <c r="I40" i="1"/>
  <c r="I35" i="1"/>
  <c r="K33" i="1" l="1"/>
  <c r="K34" i="1" s="1"/>
  <c r="J40" i="1"/>
  <c r="J156" i="1"/>
  <c r="J35" i="1"/>
  <c r="J34" i="1"/>
  <c r="I41" i="1"/>
  <c r="I43" i="1" s="1"/>
  <c r="I116" i="1"/>
  <c r="I133" i="1" s="1"/>
  <c r="I137" i="1"/>
  <c r="I157" i="1"/>
  <c r="K156" i="1" l="1"/>
  <c r="K157" i="1" s="1"/>
  <c r="K40" i="1"/>
  <c r="K137" i="1" s="1"/>
  <c r="K35" i="1"/>
  <c r="I158" i="1"/>
  <c r="J157" i="1"/>
  <c r="J41" i="1"/>
  <c r="J43" i="1" s="1"/>
  <c r="J137" i="1"/>
  <c r="J116" i="1"/>
  <c r="J133" i="1" s="1"/>
  <c r="I139" i="1"/>
  <c r="I154" i="1" s="1"/>
  <c r="I51" i="1"/>
  <c r="I52" i="1"/>
  <c r="K116" i="1" l="1"/>
  <c r="K133" i="1" s="1"/>
  <c r="K139" i="1" s="1"/>
  <c r="K154" i="1" s="1"/>
  <c r="K41" i="1"/>
  <c r="K158" i="1" s="1"/>
  <c r="J139" i="1"/>
  <c r="J154" i="1" s="1"/>
  <c r="I159" i="1"/>
  <c r="F4" i="2"/>
  <c r="F6" i="2" s="1"/>
  <c r="J51" i="1"/>
  <c r="J52" i="1"/>
  <c r="J158" i="1"/>
  <c r="K159" i="1" l="1"/>
  <c r="H4" i="2"/>
  <c r="D13" i="2" s="1"/>
  <c r="D14" i="2" s="1"/>
  <c r="D15" i="2" s="1"/>
  <c r="K43" i="1"/>
  <c r="K51" i="1" s="1"/>
  <c r="J159" i="1"/>
  <c r="G4" i="2"/>
  <c r="G6" i="2" s="1"/>
  <c r="K52" i="1" l="1"/>
  <c r="H6" i="2"/>
  <c r="G130" i="1"/>
  <c r="F64" i="1"/>
  <c r="F65" i="1" s="1"/>
  <c r="F66" i="1" l="1"/>
  <c r="F18" i="1"/>
  <c r="F27" i="1" l="1"/>
  <c r="F20" i="1"/>
  <c r="F31" i="1"/>
  <c r="F19" i="1"/>
  <c r="F102" i="1"/>
  <c r="F105" i="1" s="1"/>
  <c r="F83" i="1"/>
  <c r="F29" i="1"/>
  <c r="G19" i="1"/>
  <c r="F23" i="1"/>
  <c r="G127" i="1"/>
  <c r="G139" i="1" s="1"/>
  <c r="G154" i="1" s="1"/>
  <c r="F33" i="1"/>
  <c r="F34" i="1" l="1"/>
  <c r="F35" i="1"/>
  <c r="F40" i="1"/>
  <c r="F156" i="1"/>
  <c r="F138" i="1" l="1"/>
  <c r="F42" i="1"/>
  <c r="F116" i="1"/>
  <c r="F139" i="1" s="1"/>
  <c r="F43" i="1"/>
  <c r="F157" i="1"/>
  <c r="F158" i="1" l="1"/>
  <c r="F52" i="1"/>
  <c r="F51" i="1"/>
  <c r="C4" i="2"/>
  <c r="C6" i="2" s="1"/>
  <c r="C8" i="2" s="1"/>
  <c r="D17" i="2" s="1"/>
  <c r="F159" i="1"/>
  <c r="G79" i="1" l="1"/>
  <c r="F107" i="1"/>
  <c r="F109" i="1" s="1"/>
  <c r="G93" i="1" l="1"/>
  <c r="G107" i="1" s="1"/>
  <c r="G109" i="1" s="1"/>
  <c r="H79" i="1"/>
  <c r="I79" i="1" l="1"/>
  <c r="H93" i="1"/>
  <c r="H107" i="1" s="1"/>
  <c r="H109" i="1" s="1"/>
  <c r="J79" i="1" l="1"/>
  <c r="I93" i="1"/>
  <c r="I107" i="1" s="1"/>
  <c r="I109" i="1" s="1"/>
  <c r="J93" i="1" l="1"/>
  <c r="J107" i="1" s="1"/>
  <c r="J109" i="1" s="1"/>
  <c r="K79" i="1"/>
  <c r="K93" i="1" l="1"/>
  <c r="K107" i="1" s="1"/>
  <c r="K109" i="1" s="1"/>
  <c r="D22" i="2"/>
  <c r="D24" i="2" s="1"/>
  <c r="D25" i="2" s="1"/>
  <c r="H21" i="2" l="1"/>
  <c r="H23" i="2" s="1"/>
  <c r="H25" i="2" s="1"/>
  <c r="H28" i="2" s="1"/>
  <c r="G9" i="4"/>
  <c r="G11" i="4" s="1"/>
  <c r="G13" i="4" s="1"/>
  <c r="G7" i="4" s="1"/>
  <c r="G31" i="4"/>
  <c r="H31" i="4" s="1"/>
  <c r="H8" i="4" l="1"/>
  <c r="G8" i="4"/>
  <c r="I31" i="4"/>
  <c r="H46" i="4"/>
  <c r="H45" i="4"/>
  <c r="H34" i="4"/>
  <c r="H44" i="4"/>
  <c r="H47" i="4"/>
  <c r="G28" i="4"/>
  <c r="G26" i="4"/>
  <c r="G34" i="4" s="1"/>
  <c r="H39" i="4" l="1"/>
  <c r="H41" i="4"/>
  <c r="H40" i="4"/>
  <c r="H42" i="4"/>
  <c r="J31" i="4"/>
  <c r="I34" i="4"/>
  <c r="I44" i="4"/>
  <c r="I45" i="4"/>
  <c r="I47" i="4"/>
  <c r="I46" i="4"/>
  <c r="G39" i="4"/>
  <c r="G41" i="4"/>
  <c r="G40" i="4"/>
  <c r="G42" i="4"/>
  <c r="G45" i="4"/>
  <c r="G47" i="4"/>
  <c r="G46" i="4"/>
  <c r="G44" i="4"/>
  <c r="I42" i="4" l="1"/>
  <c r="I39" i="4"/>
  <c r="I41" i="4"/>
  <c r="I40" i="4"/>
  <c r="K31" i="4"/>
  <c r="J34" i="4"/>
  <c r="J44" i="4"/>
  <c r="J45" i="4"/>
  <c r="J46" i="4"/>
  <c r="J47" i="4"/>
  <c r="J39" i="4" l="1"/>
  <c r="J41" i="4"/>
  <c r="J40" i="4"/>
  <c r="J42" i="4"/>
  <c r="K34" i="4"/>
  <c r="K44" i="4"/>
  <c r="L44" i="4" s="1"/>
  <c r="M44" i="4" s="1"/>
  <c r="K46" i="4"/>
  <c r="L46" i="4" s="1"/>
  <c r="M46" i="4" s="1"/>
  <c r="K45" i="4"/>
  <c r="L45" i="4" s="1"/>
  <c r="M45" i="4" s="1"/>
  <c r="K47" i="4"/>
  <c r="L47" i="4" s="1"/>
  <c r="M47" i="4" s="1"/>
  <c r="K40" i="4" l="1"/>
  <c r="L40" i="4" s="1"/>
  <c r="M40" i="4" s="1"/>
  <c r="K42" i="4"/>
  <c r="L42" i="4" s="1"/>
  <c r="M42" i="4" s="1"/>
  <c r="K39" i="4"/>
  <c r="L39" i="4" s="1"/>
  <c r="M39" i="4" s="1"/>
  <c r="K41" i="4"/>
  <c r="L41" i="4" s="1"/>
  <c r="M41" i="4" s="1"/>
</calcChain>
</file>

<file path=xl/sharedStrings.xml><?xml version="1.0" encoding="utf-8"?>
<sst xmlns="http://schemas.openxmlformats.org/spreadsheetml/2006/main" count="219" uniqueCount="169">
  <si>
    <t>Adyen Financial Model</t>
  </si>
  <si>
    <t>Company Name</t>
  </si>
  <si>
    <t>Ticker</t>
  </si>
  <si>
    <t>Share price</t>
  </si>
  <si>
    <t>Date of price</t>
  </si>
  <si>
    <t>Last FY End</t>
  </si>
  <si>
    <t>Adyen</t>
  </si>
  <si>
    <t>EUR thousands, except per share</t>
  </si>
  <si>
    <t>INCOME STATEMENT</t>
  </si>
  <si>
    <t>Fiscal year</t>
  </si>
  <si>
    <t>Fiscal year end date</t>
  </si>
  <si>
    <t>Revenue</t>
  </si>
  <si>
    <t>Costs incurred from financial inst</t>
  </si>
  <si>
    <t>Costs of goods sold</t>
  </si>
  <si>
    <t xml:space="preserve">Wages and Salaries </t>
  </si>
  <si>
    <t>Social securities and pension costs</t>
  </si>
  <si>
    <t>Amortization and depreciation</t>
  </si>
  <si>
    <t>Other operating expenses</t>
  </si>
  <si>
    <t>Other income / (expense)</t>
  </si>
  <si>
    <t>Net revenue</t>
  </si>
  <si>
    <t>Finance income</t>
  </si>
  <si>
    <t>Finance expense</t>
  </si>
  <si>
    <t>Orther financial results</t>
  </si>
  <si>
    <t>Net finance income</t>
  </si>
  <si>
    <t>Income before income taxes</t>
  </si>
  <si>
    <t>Income taxes</t>
  </si>
  <si>
    <t>Net income</t>
  </si>
  <si>
    <t>Basic shares outstanding</t>
  </si>
  <si>
    <t>Diluted shares outstanding</t>
  </si>
  <si>
    <t>Dilutive shares outstanding</t>
  </si>
  <si>
    <t>Basic EPS</t>
  </si>
  <si>
    <t>Diluted EPS</t>
  </si>
  <si>
    <t>Settlement fees</t>
  </si>
  <si>
    <t>Processing fees</t>
  </si>
  <si>
    <t>Sales of goods</t>
  </si>
  <si>
    <t>Other services</t>
  </si>
  <si>
    <t>SEGMENTS &amp; KPIs</t>
  </si>
  <si>
    <t>Total Payment Volume</t>
  </si>
  <si>
    <t>Growth</t>
  </si>
  <si>
    <t>As a % of payment volume</t>
  </si>
  <si>
    <t xml:space="preserve">Costs incurred </t>
  </si>
  <si>
    <t>Net settlement fee revenue</t>
  </si>
  <si>
    <t>As a % of net revenue</t>
  </si>
  <si>
    <t>Operating Income</t>
  </si>
  <si>
    <t>As a % of revenue</t>
  </si>
  <si>
    <t>Operating margin</t>
  </si>
  <si>
    <t>EBITDA</t>
  </si>
  <si>
    <t>Tax Rate</t>
  </si>
  <si>
    <t>BALANCE SHEET</t>
  </si>
  <si>
    <t>Cash &amp; Equivalents</t>
  </si>
  <si>
    <t>Current income tax receivables</t>
  </si>
  <si>
    <t>Trade and other receivables</t>
  </si>
  <si>
    <t>Receivables from merchants</t>
  </si>
  <si>
    <t>Inventories</t>
  </si>
  <si>
    <t>PP&amp;E</t>
  </si>
  <si>
    <t>Intangible Assets</t>
  </si>
  <si>
    <t>Contract assets</t>
  </si>
  <si>
    <t>Deferred tax assets</t>
  </si>
  <si>
    <t>Right-of-use assets</t>
  </si>
  <si>
    <t>Other financial assets at FVPL</t>
  </si>
  <si>
    <t>Total Assets</t>
  </si>
  <si>
    <t>Other financial assets at amortized cost</t>
  </si>
  <si>
    <t>Derivative liabilities</t>
  </si>
  <si>
    <t>Deferred tax liabilities</t>
  </si>
  <si>
    <t>Lease liability</t>
  </si>
  <si>
    <t>Cash-settled share-based payment plan</t>
  </si>
  <si>
    <t>Payables to merchants</t>
  </si>
  <si>
    <t>Trade and other payables</t>
  </si>
  <si>
    <t>Current lease liability</t>
  </si>
  <si>
    <t>Current income tax payables</t>
  </si>
  <si>
    <t>Total liabilities</t>
  </si>
  <si>
    <t>Total Equity</t>
  </si>
  <si>
    <t>Total Liabilities &amp; Equity</t>
  </si>
  <si>
    <t>CASH FLOW</t>
  </si>
  <si>
    <t>Depreciation of PP&amp;E</t>
  </si>
  <si>
    <t>Amortization of intangibles</t>
  </si>
  <si>
    <t>Depreciation of right-of-use assets</t>
  </si>
  <si>
    <t>Equity settled SBC</t>
  </si>
  <si>
    <t>Cash settled SBC</t>
  </si>
  <si>
    <t>Amortization and additions of contract assets</t>
  </si>
  <si>
    <t>Interest received</t>
  </si>
  <si>
    <t>Interest paid</t>
  </si>
  <si>
    <t>Income taxes paid</t>
  </si>
  <si>
    <t>Cash generated from operations</t>
  </si>
  <si>
    <t>Net Cash Flow from Operations</t>
  </si>
  <si>
    <t>Purchases of financial assets at FVPL</t>
  </si>
  <si>
    <t>Redemption of financial assets at amortized cost</t>
  </si>
  <si>
    <t>Redemption of financial assets at FVPL</t>
  </si>
  <si>
    <t>Purchase of plant and equipment</t>
  </si>
  <si>
    <t>Capitalization of intangible assets</t>
  </si>
  <si>
    <t>Net Cash used in investing activities</t>
  </si>
  <si>
    <t>Proceeds from issues of shares</t>
  </si>
  <si>
    <t>Lease payments</t>
  </si>
  <si>
    <t>Net cash flows from financing activities</t>
  </si>
  <si>
    <t>Exchange gains/losses</t>
  </si>
  <si>
    <t>Change in Cash</t>
  </si>
  <si>
    <t>EBITDA-Capex-lease</t>
  </si>
  <si>
    <t>Margin</t>
  </si>
  <si>
    <t>FCF</t>
  </si>
  <si>
    <t>FCF Margin</t>
  </si>
  <si>
    <t>Costs as a % of fees</t>
  </si>
  <si>
    <t>COGS %</t>
  </si>
  <si>
    <t>As a % of wages &amp; salaries</t>
  </si>
  <si>
    <t>As a % of PP&amp;E</t>
  </si>
  <si>
    <t>As a % of intangibles</t>
  </si>
  <si>
    <t>As a % of right-of-use</t>
  </si>
  <si>
    <t>As a % of pre-tax profit</t>
  </si>
  <si>
    <t>DSO</t>
  </si>
  <si>
    <t>As a % of TPV</t>
  </si>
  <si>
    <t>Period</t>
  </si>
  <si>
    <t>Discount Rate</t>
  </si>
  <si>
    <t>PV</t>
  </si>
  <si>
    <t>Sum of PVs</t>
  </si>
  <si>
    <t>Terminal Value</t>
  </si>
  <si>
    <t>Long-Term Growth Rate</t>
  </si>
  <si>
    <t>PV of TV</t>
  </si>
  <si>
    <t>EV 1+2</t>
  </si>
  <si>
    <t>Debts</t>
  </si>
  <si>
    <t>Net Debt</t>
  </si>
  <si>
    <t>Shares Outstanding</t>
  </si>
  <si>
    <t>Basic Shares</t>
  </si>
  <si>
    <t xml:space="preserve">Dilutive </t>
  </si>
  <si>
    <t>Total Shares Outstanding</t>
  </si>
  <si>
    <t>Equity Value</t>
  </si>
  <si>
    <t>Value Per Share (Euro)</t>
  </si>
  <si>
    <t>U.S. ADR</t>
  </si>
  <si>
    <t>Exchange</t>
  </si>
  <si>
    <t>ADYEY</t>
  </si>
  <si>
    <t>Current Price</t>
  </si>
  <si>
    <t>Margin of Safety</t>
  </si>
  <si>
    <t>Nonoperating Assets</t>
  </si>
  <si>
    <t>Discounted</t>
  </si>
  <si>
    <t>WACC</t>
  </si>
  <si>
    <t>Total Payment Volume (€ millions)</t>
  </si>
  <si>
    <t>Net Revenue (€ millions)</t>
  </si>
  <si>
    <t>Settlement Fees</t>
  </si>
  <si>
    <t>Processing Fees</t>
  </si>
  <si>
    <t>Sale of Goods</t>
  </si>
  <si>
    <t>Other Services</t>
  </si>
  <si>
    <t>Settlement Costs</t>
  </si>
  <si>
    <t>Net Settlement Revenue</t>
  </si>
  <si>
    <t>Other expenses</t>
  </si>
  <si>
    <t>Value U.S. Share Price (Dollars)</t>
  </si>
  <si>
    <t>* Change to 33%</t>
  </si>
  <si>
    <t>* Change to 45%</t>
  </si>
  <si>
    <t>Upped to match current trend</t>
  </si>
  <si>
    <t>Same</t>
  </si>
  <si>
    <t>Set to 30k</t>
  </si>
  <si>
    <t>Left @ 20%</t>
  </si>
  <si>
    <t>U.S. Share Price Euro</t>
  </si>
  <si>
    <t>Fiscal Year</t>
  </si>
  <si>
    <t>KPI &amp; SEGMENT DATA</t>
  </si>
  <si>
    <t>As a % of settlement fees</t>
  </si>
  <si>
    <t>Goods Margin %</t>
  </si>
  <si>
    <t>MARGINS / SHARES / EPS</t>
  </si>
  <si>
    <t>Net Margin</t>
  </si>
  <si>
    <t>Growth %</t>
  </si>
  <si>
    <t>EPS</t>
  </si>
  <si>
    <t>VALUATION</t>
  </si>
  <si>
    <t>P/E 20x</t>
  </si>
  <si>
    <t>P/E 25x</t>
  </si>
  <si>
    <t>P/E 30x</t>
  </si>
  <si>
    <t>P/E 15x</t>
  </si>
  <si>
    <t>P/FCF 15x</t>
  </si>
  <si>
    <t>P/FCF 20x</t>
  </si>
  <si>
    <t>P/FCF 25x</t>
  </si>
  <si>
    <t>P/FCF 30x</t>
  </si>
  <si>
    <t>2028 USD</t>
  </si>
  <si>
    <t>2028 Diff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</si>
</sst>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A;[Red]0\A"/>
    <numFmt numFmtId="165" formatCode="0\E;[Red]0\E"/>
    <numFmt numFmtId="166" formatCode="m/d/yy;@"/>
    <numFmt numFmtId="167" formatCode="_(* #,##0_);_(* \(#,##0\);_(* &quot;-&quot;??_);_(@_)"/>
    <numFmt numFmtId="168" formatCode="_([$€-2]\ * #,##0.00_);_([$€-2]\ * \(#,##0.00\);_([$€-2]\ * &quot;-&quot;??_);_(@_)"/>
    <numFmt numFmtId="169" formatCode="0.0%"/>
    <numFmt numFmtId="170" formatCode="_-* #,##0.00\ [$€-42D]_-;\-* #,##0.00\ [$€-42D]_-;_-* &quot;-&quot;??\ [$€-42D]_-;_-@_-"/>
    <numFmt numFmtId="171" formatCode="_(* #,##0_);_(* \(#,##0\);_(* &quot;-&quot;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CC"/>
      <name val="Arial"/>
      <family val="2"/>
    </font>
    <font>
      <i/>
      <sz val="9"/>
      <color theme="2" tint="-0.499984740745262"/>
      <name val="Arial"/>
      <family val="2"/>
    </font>
    <font>
      <sz val="10"/>
      <color rgb="FF0000CC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165" fontId="0" fillId="0" borderId="0" xfId="0" applyNumberFormat="1"/>
    <xf numFmtId="14" fontId="0" fillId="0" borderId="2" xfId="0" applyNumberFormat="1" applyBorder="1"/>
    <xf numFmtId="0" fontId="2" fillId="0" borderId="0" xfId="0" applyFont="1"/>
    <xf numFmtId="166" fontId="5" fillId="0" borderId="0" xfId="0" applyNumberFormat="1" applyFont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/>
    <xf numFmtId="166" fontId="6" fillId="0" borderId="2" xfId="0" applyNumberFormat="1" applyFont="1" applyBorder="1"/>
    <xf numFmtId="37" fontId="7" fillId="0" borderId="0" xfId="0" applyNumberFormat="1" applyFont="1"/>
    <xf numFmtId="167" fontId="2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37" fontId="0" fillId="0" borderId="0" xfId="0" applyNumberFormat="1"/>
    <xf numFmtId="37" fontId="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169" fontId="0" fillId="0" borderId="0" xfId="2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9" fontId="4" fillId="0" borderId="0" xfId="2" applyNumberFormat="1" applyFont="1" applyAlignment="1">
      <alignment horizontal="left" indent="1"/>
    </xf>
    <xf numFmtId="169" fontId="4" fillId="0" borderId="0" xfId="2" applyNumberFormat="1" applyFont="1"/>
    <xf numFmtId="10" fontId="4" fillId="0" borderId="0" xfId="2" applyNumberFormat="1" applyFont="1"/>
    <xf numFmtId="167" fontId="4" fillId="0" borderId="0" xfId="1" applyNumberFormat="1" applyFont="1"/>
    <xf numFmtId="169" fontId="4" fillId="2" borderId="0" xfId="2" applyNumberFormat="1" applyFont="1" applyFill="1"/>
    <xf numFmtId="10" fontId="4" fillId="2" borderId="0" xfId="2" applyNumberFormat="1" applyFont="1" applyFill="1"/>
    <xf numFmtId="43" fontId="0" fillId="0" borderId="0" xfId="0" applyNumberFormat="1"/>
    <xf numFmtId="37" fontId="0" fillId="2" borderId="0" xfId="0" applyNumberFormat="1" applyFill="1"/>
    <xf numFmtId="0" fontId="0" fillId="2" borderId="0" xfId="0" applyFill="1"/>
    <xf numFmtId="167" fontId="4" fillId="2" borderId="0" xfId="1" applyNumberFormat="1" applyFont="1" applyFill="1"/>
    <xf numFmtId="37" fontId="8" fillId="0" borderId="0" xfId="0" applyNumberFormat="1" applyFont="1"/>
    <xf numFmtId="0" fontId="2" fillId="0" borderId="1" xfId="0" applyFont="1" applyBorder="1"/>
    <xf numFmtId="0" fontId="2" fillId="3" borderId="0" xfId="0" applyFont="1" applyFill="1"/>
    <xf numFmtId="0" fontId="0" fillId="3" borderId="0" xfId="0" applyFill="1"/>
    <xf numFmtId="170" fontId="0" fillId="0" borderId="0" xfId="3" applyNumberFormat="1" applyFont="1"/>
    <xf numFmtId="44" fontId="2" fillId="4" borderId="0" xfId="3" applyFont="1" applyFill="1"/>
    <xf numFmtId="169" fontId="0" fillId="2" borderId="0" xfId="2" applyNumberFormat="1" applyFont="1" applyFill="1"/>
    <xf numFmtId="44" fontId="7" fillId="0" borderId="0" xfId="3" applyFont="1" applyAlignment="1">
      <alignment horizontal="right"/>
    </xf>
    <xf numFmtId="44" fontId="0" fillId="0" borderId="0" xfId="0" applyNumberFormat="1"/>
    <xf numFmtId="167" fontId="9" fillId="0" borderId="0" xfId="1" applyNumberFormat="1" applyFont="1"/>
    <xf numFmtId="10" fontId="0" fillId="0" borderId="0" xfId="2" applyNumberFormat="1" applyFont="1"/>
    <xf numFmtId="167" fontId="9" fillId="0" borderId="0" xfId="0" applyNumberFormat="1" applyFont="1"/>
    <xf numFmtId="9" fontId="1" fillId="0" borderId="0" xfId="2" applyFont="1"/>
    <xf numFmtId="44" fontId="0" fillId="0" borderId="0" xfId="3" applyFont="1"/>
    <xf numFmtId="168" fontId="0" fillId="0" borderId="0" xfId="3" applyNumberFormat="1" applyFont="1"/>
    <xf numFmtId="0" fontId="0" fillId="0" borderId="3" xfId="0" applyBorder="1"/>
    <xf numFmtId="0" fontId="2" fillId="0" borderId="3" xfId="0" applyFont="1" applyBorder="1"/>
    <xf numFmtId="169" fontId="10" fillId="0" borderId="0" xfId="2" applyNumberFormat="1" applyFont="1"/>
    <xf numFmtId="0" fontId="4" fillId="0" borderId="0" xfId="0" applyFont="1" applyAlignment="1">
      <alignment horizontal="left" indent="1"/>
    </xf>
    <xf numFmtId="169" fontId="10" fillId="2" borderId="0" xfId="2" applyNumberFormat="1" applyFont="1" applyFill="1"/>
    <xf numFmtId="171" fontId="0" fillId="0" borderId="0" xfId="0" applyNumberFormat="1"/>
    <xf numFmtId="10" fontId="10" fillId="0" borderId="0" xfId="2" applyNumberFormat="1" applyFont="1"/>
    <xf numFmtId="10" fontId="10" fillId="2" borderId="0" xfId="2" applyNumberFormat="1" applyFont="1" applyFill="1"/>
    <xf numFmtId="167" fontId="11" fillId="0" borderId="0" xfId="1" applyNumberFormat="1" applyFont="1"/>
    <xf numFmtId="167" fontId="11" fillId="0" borderId="0" xfId="0" applyNumberFormat="1" applyFont="1"/>
    <xf numFmtId="0" fontId="12" fillId="0" borderId="0" xfId="0" applyFont="1"/>
    <xf numFmtId="167" fontId="12" fillId="0" borderId="0" xfId="0" applyNumberFormat="1" applyFont="1"/>
    <xf numFmtId="37" fontId="12" fillId="0" borderId="0" xfId="0" applyNumberFormat="1" applyFont="1"/>
    <xf numFmtId="0" fontId="8" fillId="0" borderId="0" xfId="0" applyFont="1"/>
    <xf numFmtId="0" fontId="0" fillId="5" borderId="0" xfId="0" applyFill="1" applyAlignment="1">
      <alignment horizontal="center"/>
    </xf>
    <xf numFmtId="0" fontId="0" fillId="5" borderId="0" xfId="0" applyFill="1"/>
    <xf numFmtId="44" fontId="0" fillId="5" borderId="0" xfId="3" applyFont="1" applyFill="1"/>
    <xf numFmtId="9" fontId="0" fillId="5" borderId="0" xfId="2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Breakdown of Adyen Segments by Revenue (M EUR)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15-A34B-9AB0-095D68C05F0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15-A34B-9AB0-095D68C05F0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15-A34B-9AB0-095D68C05F0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15-A34B-9AB0-095D68C05F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KPIs!$A$6:$A$9</c:f>
              <c:strCache>
                <c:ptCount val="4"/>
                <c:pt idx="0">
                  <c:v>Net Settlement Revenue</c:v>
                </c:pt>
                <c:pt idx="1">
                  <c:v>Processing Fees</c:v>
                </c:pt>
                <c:pt idx="2">
                  <c:v>Sale of Goods</c:v>
                </c:pt>
                <c:pt idx="3">
                  <c:v>Other Services</c:v>
                </c:pt>
              </c:strCache>
            </c:strRef>
          </c:cat>
          <c:val>
            <c:numRef>
              <c:f>KPIs!$G$6:$G$9</c:f>
              <c:numCache>
                <c:formatCode>_(* #,##0_);_(* \(#,##0\);_(* "-"??_);_(@_)</c:formatCode>
                <c:ptCount val="4"/>
                <c:pt idx="0">
                  <c:v>720</c:v>
                </c:pt>
                <c:pt idx="1">
                  <c:v>388</c:v>
                </c:pt>
                <c:pt idx="2">
                  <c:v>55.7</c:v>
                </c:pt>
                <c:pt idx="3">
                  <c:v>221.7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1-EA4E-BE08-A429D963FB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Adyen Total Payment Volume (€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KPIs!$A$2</c:f>
              <c:strCache>
                <c:ptCount val="1"/>
                <c:pt idx="0">
                  <c:v>Total Payment Volume (€ millions)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KPIs!$B$1:$H$1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KPIs!$B$2:$H$2</c:f>
              <c:numCache>
                <c:formatCode>_(* #,##0_);_(* \(#,##0\);_(* "-"??_);_(@_)</c:formatCode>
                <c:ptCount val="7"/>
                <c:pt idx="0">
                  <c:v>108400</c:v>
                </c:pt>
                <c:pt idx="1">
                  <c:v>159000</c:v>
                </c:pt>
                <c:pt idx="2">
                  <c:v>239600</c:v>
                </c:pt>
                <c:pt idx="3">
                  <c:v>303600</c:v>
                </c:pt>
                <c:pt idx="4">
                  <c:v>516000</c:v>
                </c:pt>
                <c:pt idx="5">
                  <c:v>767500</c:v>
                </c:pt>
                <c:pt idx="6">
                  <c:v>970100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C54A-BD44-D069E456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83706095"/>
        <c:axId val="1285830223"/>
      </c:barChart>
      <c:catAx>
        <c:axId val="128370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830223"/>
        <c:crosses val="autoZero"/>
        <c:auto val="1"/>
        <c:lblAlgn val="ctr"/>
        <c:lblOffset val="100"/>
        <c:noMultiLvlLbl val="0"/>
      </c:catAx>
      <c:valAx>
        <c:axId val="128583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0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800100</xdr:colOff>
      <xdr:row>7</xdr:row>
      <xdr:rowOff>0</xdr:rowOff>
    </xdr:from>
    <xdr:to>
      <xdr:col>19</xdr:col>
      <xdr:colOff>698500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D2803A-BB5E-1900-5073-3E3903131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2108200</xdr:colOff>
      <xdr:row>16</xdr:row>
      <xdr:rowOff>38100</xdr:rowOff>
    </xdr:from>
    <xdr:to>
      <xdr:col>10</xdr:col>
      <xdr:colOff>584200</xdr:colOff>
      <xdr:row>38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DDCA02-6ED6-E7FA-F78D-CC915E636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FAD9-1B81-4848-9CC7-5BE2BB8DFBED}">
  <dimension ref="B2:L159"/>
  <sheetViews>
    <sheetView zoomScaleNormal="100" workbookViewId="0">
      <selection activeCell="B49" sqref="B49:K49"/>
    </sheetView>
  </sheetViews>
  <sheetFormatPr baseColWidth="10" defaultRowHeight="16" x14ac:dyDescent="0.2"/>
  <cols>
    <col min="1" max="1" width="3.5" customWidth="1"/>
    <col min="2" max="2" width="38.5" bestFit="1" customWidth="1"/>
    <col min="3" max="3" width="15.1640625" bestFit="1" customWidth="1"/>
    <col min="4" max="5" width="11.83203125" bestFit="1" customWidth="1"/>
    <col min="6" max="6" width="14.6640625" bestFit="1" customWidth="1"/>
    <col min="7" max="10" width="13.33203125" bestFit="1" customWidth="1"/>
    <col min="11" max="11" width="14.33203125" bestFit="1" customWidth="1"/>
  </cols>
  <sheetData>
    <row r="2" spans="2:11" ht="27" thickBot="1" x14ac:dyDescent="0.3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3" t="s">
        <v>7</v>
      </c>
    </row>
    <row r="4" spans="2:11" x14ac:dyDescent="0.2">
      <c r="I4" s="45"/>
    </row>
    <row r="5" spans="2:11" x14ac:dyDescent="0.2">
      <c r="B5" t="s">
        <v>1</v>
      </c>
      <c r="C5" s="11" t="s">
        <v>6</v>
      </c>
      <c r="D5" s="10"/>
    </row>
    <row r="6" spans="2:11" x14ac:dyDescent="0.2">
      <c r="B6" t="s">
        <v>2</v>
      </c>
      <c r="C6" s="11" t="s">
        <v>127</v>
      </c>
      <c r="G6" s="9"/>
    </row>
    <row r="7" spans="2:11" x14ac:dyDescent="0.2">
      <c r="B7" t="s">
        <v>3</v>
      </c>
      <c r="C7" s="42">
        <v>13.24</v>
      </c>
    </row>
    <row r="8" spans="2:11" x14ac:dyDescent="0.2">
      <c r="B8" t="s">
        <v>4</v>
      </c>
      <c r="C8" s="11">
        <v>45434</v>
      </c>
    </row>
    <row r="9" spans="2:11" x14ac:dyDescent="0.2">
      <c r="B9" t="s">
        <v>5</v>
      </c>
      <c r="C9" s="12">
        <v>45291</v>
      </c>
    </row>
    <row r="11" spans="2:11" ht="17" thickBot="1" x14ac:dyDescent="0.25">
      <c r="B11" s="5" t="s">
        <v>8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2">
      <c r="B12" t="s">
        <v>9</v>
      </c>
      <c r="C12" s="6">
        <f>D12-1</f>
        <v>2020</v>
      </c>
      <c r="D12" s="6">
        <f>E12-1</f>
        <v>2021</v>
      </c>
      <c r="E12" s="6">
        <v>2022</v>
      </c>
      <c r="F12" s="6">
        <f>E12+1</f>
        <v>2023</v>
      </c>
      <c r="G12" s="7">
        <f t="shared" ref="G12:K12" si="0">F12+1</f>
        <v>2024</v>
      </c>
      <c r="H12" s="7">
        <f t="shared" si="0"/>
        <v>2025</v>
      </c>
      <c r="I12" s="7">
        <f t="shared" si="0"/>
        <v>2026</v>
      </c>
      <c r="J12" s="7">
        <f t="shared" si="0"/>
        <v>2027</v>
      </c>
      <c r="K12" s="7">
        <f t="shared" si="0"/>
        <v>2028</v>
      </c>
    </row>
    <row r="13" spans="2:11" ht="17" thickBot="1" x14ac:dyDescent="0.25">
      <c r="B13" s="4" t="s">
        <v>10</v>
      </c>
      <c r="C13" s="13">
        <v>44196</v>
      </c>
      <c r="D13" s="13">
        <v>44561</v>
      </c>
      <c r="E13" s="13">
        <v>44926</v>
      </c>
      <c r="F13" s="13">
        <f>EOMONTH(E13,12)</f>
        <v>45291</v>
      </c>
      <c r="G13" s="8">
        <f t="shared" ref="G13:K13" si="1">EOMONTH(F13,12)</f>
        <v>45657</v>
      </c>
      <c r="H13" s="8">
        <f t="shared" si="1"/>
        <v>46022</v>
      </c>
      <c r="I13" s="8">
        <f t="shared" si="1"/>
        <v>46387</v>
      </c>
      <c r="J13" s="8">
        <f t="shared" si="1"/>
        <v>46752</v>
      </c>
      <c r="K13" s="8">
        <f t="shared" si="1"/>
        <v>47118</v>
      </c>
    </row>
    <row r="15" spans="2:11" x14ac:dyDescent="0.2">
      <c r="B15" t="s">
        <v>11</v>
      </c>
      <c r="C15" s="14">
        <v>3641389</v>
      </c>
      <c r="D15" s="14">
        <v>5995419</v>
      </c>
      <c r="E15" s="14">
        <v>8935611</v>
      </c>
      <c r="F15" s="14">
        <v>1863406</v>
      </c>
      <c r="G15" s="18">
        <f t="shared" ref="G15:H15" si="2">G61+G67+G69+G72</f>
        <v>2360017.79</v>
      </c>
      <c r="H15" s="18">
        <f t="shared" si="2"/>
        <v>2832061.7522999998</v>
      </c>
      <c r="I15" s="18">
        <f>I61+I67+I69+I72</f>
        <v>3497800.6540949992</v>
      </c>
      <c r="J15" s="18">
        <f t="shared" ref="J15:K15" si="3">J61+J67+J69+J72</f>
        <v>4037675.5643416494</v>
      </c>
      <c r="K15" s="18">
        <f t="shared" si="3"/>
        <v>4829769.41251582</v>
      </c>
    </row>
    <row r="16" spans="2:11" x14ac:dyDescent="0.2">
      <c r="B16" t="s">
        <v>12</v>
      </c>
      <c r="C16" s="14">
        <v>-2935182</v>
      </c>
      <c r="D16" s="14">
        <v>-4960951</v>
      </c>
      <c r="E16" s="14">
        <v>-7550960</v>
      </c>
      <c r="F16" s="14">
        <v>-147811</v>
      </c>
      <c r="G16" s="16">
        <f t="shared" ref="G16:H16" si="4">G64</f>
        <v>-198016.81200000001</v>
      </c>
      <c r="H16" s="16">
        <f t="shared" si="4"/>
        <v>-245540.84688</v>
      </c>
      <c r="I16" s="16">
        <f>I64</f>
        <v>-316838.63352959999</v>
      </c>
      <c r="J16" s="16">
        <f t="shared" ref="J16:K16" si="5">J64</f>
        <v>-371079.51601593598</v>
      </c>
      <c r="K16" s="16">
        <f t="shared" si="5"/>
        <v>-456112.31199367676</v>
      </c>
    </row>
    <row r="17" spans="2:11" x14ac:dyDescent="0.2">
      <c r="B17" t="s">
        <v>13</v>
      </c>
      <c r="C17" s="14">
        <v>-22007</v>
      </c>
      <c r="D17" s="14">
        <v>-32951</v>
      </c>
      <c r="E17" s="14">
        <v>-54485</v>
      </c>
      <c r="F17" s="14">
        <v>-89534</v>
      </c>
      <c r="G17" s="16">
        <f t="shared" ref="G17:H17" si="6">-G69*G71</f>
        <v>-100959.59999999999</v>
      </c>
      <c r="H17" s="16">
        <f t="shared" si="6"/>
        <v>-116103.53999999998</v>
      </c>
      <c r="I17" s="16">
        <f>-I69*I71</f>
        <v>-121328.19929999998</v>
      </c>
      <c r="J17" s="16">
        <f t="shared" ref="J17:K17" si="7">-J69*J71</f>
        <v>-133461.01922999998</v>
      </c>
      <c r="K17" s="16">
        <f t="shared" si="7"/>
        <v>-139080.430566</v>
      </c>
    </row>
    <row r="18" spans="2:11" s="9" customFormat="1" x14ac:dyDescent="0.2">
      <c r="B18" s="9" t="s">
        <v>19</v>
      </c>
      <c r="C18" s="15">
        <f>C15+C16+C17</f>
        <v>684200</v>
      </c>
      <c r="D18" s="15">
        <f>D15+D16+D17</f>
        <v>1001517</v>
      </c>
      <c r="E18" s="15">
        <f>E15+E16+E17</f>
        <v>1330166</v>
      </c>
      <c r="F18" s="15">
        <f>F15+F16+F17</f>
        <v>1626061</v>
      </c>
      <c r="G18" s="15">
        <f t="shared" ref="G18:H18" si="8">G15+G16+G17</f>
        <v>2061041.378</v>
      </c>
      <c r="H18" s="15">
        <f t="shared" si="8"/>
        <v>2470417.3654199997</v>
      </c>
      <c r="I18" s="15">
        <f>I15+I16+I17</f>
        <v>3059633.821265399</v>
      </c>
      <c r="J18" s="15">
        <f t="shared" ref="J18:K18" si="9">J15+J16+J17</f>
        <v>3533135.029095713</v>
      </c>
      <c r="K18" s="15">
        <f t="shared" si="9"/>
        <v>4234576.669956143</v>
      </c>
    </row>
    <row r="19" spans="2:11" s="9" customFormat="1" x14ac:dyDescent="0.2">
      <c r="B19" s="25" t="s">
        <v>38</v>
      </c>
      <c r="C19" s="26"/>
      <c r="D19" s="26">
        <f>D18/C18-1</f>
        <v>0.46377813504823151</v>
      </c>
      <c r="E19" s="26">
        <f>E18/D18-1</f>
        <v>0.32815119463773446</v>
      </c>
      <c r="F19" s="26">
        <f>F18/E18-1</f>
        <v>0.22244967921297043</v>
      </c>
      <c r="G19" s="26">
        <f>G18/F18-1</f>
        <v>0.26750557205418501</v>
      </c>
      <c r="H19" s="26">
        <f t="shared" ref="H19" si="10">H18/G18-1</f>
        <v>0.19862579751661813</v>
      </c>
      <c r="I19" s="26">
        <f>I18/H18-1</f>
        <v>0.23850887064389847</v>
      </c>
      <c r="J19" s="26">
        <f t="shared" ref="J19:K19" si="11">J18/I18-1</f>
        <v>0.15475747605459667</v>
      </c>
      <c r="K19" s="26">
        <f t="shared" si="11"/>
        <v>0.19853236151010067</v>
      </c>
    </row>
    <row r="20" spans="2:11" s="9" customFormat="1" x14ac:dyDescent="0.2">
      <c r="B20" s="25" t="s">
        <v>44</v>
      </c>
      <c r="C20" s="26">
        <f>C18/C15</f>
        <v>0.1878953333466982</v>
      </c>
      <c r="D20" s="26">
        <f t="shared" ref="D20:E20" si="12">D18/D15</f>
        <v>0.16704704041535712</v>
      </c>
      <c r="E20" s="26">
        <f t="shared" si="12"/>
        <v>0.14886122504661406</v>
      </c>
      <c r="F20" s="26">
        <f>F18/F15</f>
        <v>0.87262840196929703</v>
      </c>
      <c r="G20" s="26">
        <f t="shared" ref="G20:I20" si="13">G18/G15</f>
        <v>0.87331603462192542</v>
      </c>
      <c r="H20" s="26">
        <f t="shared" si="13"/>
        <v>0.87230349529409157</v>
      </c>
      <c r="I20" s="26">
        <f t="shared" si="13"/>
        <v>0.87473075907953113</v>
      </c>
      <c r="J20" s="26">
        <f t="shared" ref="J20:K20" si="14">J18/J15</f>
        <v>0.87504183354855491</v>
      </c>
      <c r="K20" s="26">
        <f t="shared" si="14"/>
        <v>0.87676580562680695</v>
      </c>
    </row>
    <row r="21" spans="2:11" x14ac:dyDescent="0.2">
      <c r="B21" t="s">
        <v>14</v>
      </c>
      <c r="C21" s="14">
        <v>-151440</v>
      </c>
      <c r="D21" s="14">
        <v>-199141</v>
      </c>
      <c r="E21" s="14">
        <v>-328316</v>
      </c>
      <c r="F21" s="14">
        <v>-514330</v>
      </c>
      <c r="G21" s="16">
        <f t="shared" ref="G21:K21" si="15">F21*(1+G22)</f>
        <v>-720062</v>
      </c>
      <c r="H21" s="16">
        <f t="shared" si="15"/>
        <v>-900077.5</v>
      </c>
      <c r="I21" s="16">
        <f t="shared" si="15"/>
        <v>-1080093</v>
      </c>
      <c r="J21" s="16">
        <f t="shared" si="15"/>
        <v>-1188102.3</v>
      </c>
      <c r="K21" s="16">
        <f t="shared" si="15"/>
        <v>-1306912.5300000003</v>
      </c>
    </row>
    <row r="22" spans="2:11" x14ac:dyDescent="0.2">
      <c r="B22" s="25" t="s">
        <v>38</v>
      </c>
      <c r="C22" s="14"/>
      <c r="D22" s="26">
        <f>D21/C21-1</f>
        <v>0.3149828314844163</v>
      </c>
      <c r="E22" s="26">
        <f>E21/D21-1</f>
        <v>0.64866099899066487</v>
      </c>
      <c r="F22" s="26">
        <f>F21/E21-1</f>
        <v>0.56657001181788269</v>
      </c>
      <c r="G22" s="29">
        <v>0.4</v>
      </c>
      <c r="H22" s="29">
        <v>0.25</v>
      </c>
      <c r="I22" s="29">
        <v>0.2</v>
      </c>
      <c r="J22" s="29">
        <v>0.1</v>
      </c>
      <c r="K22" s="29">
        <v>0.1</v>
      </c>
    </row>
    <row r="23" spans="2:11" x14ac:dyDescent="0.2">
      <c r="B23" s="25" t="s">
        <v>42</v>
      </c>
      <c r="C23" s="26">
        <f>-C21/C18</f>
        <v>0.2213387898275358</v>
      </c>
      <c r="D23" s="26">
        <f t="shared" ref="D23:I23" si="16">-D21/D18</f>
        <v>0.19883936068983352</v>
      </c>
      <c r="E23" s="26">
        <f t="shared" si="16"/>
        <v>0.24682332881760621</v>
      </c>
      <c r="F23" s="26">
        <f t="shared" si="16"/>
        <v>0.31630424688864683</v>
      </c>
      <c r="G23" s="26">
        <f t="shared" si="16"/>
        <v>0.34936804650605124</v>
      </c>
      <c r="H23" s="26">
        <f t="shared" si="16"/>
        <v>0.36434228183421807</v>
      </c>
      <c r="I23" s="26">
        <f t="shared" si="16"/>
        <v>0.35301381246769481</v>
      </c>
      <c r="J23" s="26">
        <f>-J21/J18</f>
        <v>0.33627424092650332</v>
      </c>
      <c r="K23" s="26">
        <f>-K21/K18</f>
        <v>0.30862885049936661</v>
      </c>
    </row>
    <row r="24" spans="2:11" x14ac:dyDescent="0.2">
      <c r="B24" t="s">
        <v>15</v>
      </c>
      <c r="C24" s="14">
        <v>-28574</v>
      </c>
      <c r="D24" s="14">
        <v>-41398</v>
      </c>
      <c r="E24" s="14">
        <v>-52271</v>
      </c>
      <c r="F24" s="14">
        <v>-79704</v>
      </c>
      <c r="G24" s="16">
        <f>F24*(1+G25)</f>
        <v>-95644.800000000003</v>
      </c>
      <c r="H24" s="16">
        <f t="shared" ref="H24:K24" si="17">G24*(1+H25)</f>
        <v>-114773.75999999999</v>
      </c>
      <c r="I24" s="16">
        <f t="shared" si="17"/>
        <v>-131989.82399999999</v>
      </c>
      <c r="J24" s="16">
        <f t="shared" si="17"/>
        <v>-145188.8064</v>
      </c>
      <c r="K24" s="16">
        <f t="shared" si="17"/>
        <v>-159707.68704000002</v>
      </c>
    </row>
    <row r="25" spans="2:11" x14ac:dyDescent="0.2">
      <c r="B25" s="25" t="s">
        <v>38</v>
      </c>
      <c r="C25" s="14"/>
      <c r="D25" s="26">
        <f>D24/C24-1</f>
        <v>0.44879960803527674</v>
      </c>
      <c r="E25" s="26">
        <f>E24/D24-1</f>
        <v>0.26264553843180827</v>
      </c>
      <c r="F25" s="26">
        <f>F24/E24-1</f>
        <v>0.52482255935413513</v>
      </c>
      <c r="G25" s="29">
        <v>0.2</v>
      </c>
      <c r="H25" s="29">
        <v>0.2</v>
      </c>
      <c r="I25" s="29">
        <v>0.15</v>
      </c>
      <c r="J25" s="29">
        <v>0.1</v>
      </c>
      <c r="K25" s="29">
        <v>0.1</v>
      </c>
    </row>
    <row r="26" spans="2:11" x14ac:dyDescent="0.2">
      <c r="B26" s="25" t="s">
        <v>102</v>
      </c>
      <c r="C26" s="26">
        <f>C24/C21</f>
        <v>0.18868198626518753</v>
      </c>
      <c r="D26" s="26">
        <f t="shared" ref="D26:J26" si="18">D24/D21</f>
        <v>0.20788285687025776</v>
      </c>
      <c r="E26" s="26">
        <f t="shared" si="18"/>
        <v>0.15920942019274115</v>
      </c>
      <c r="F26" s="26">
        <f t="shared" si="18"/>
        <v>0.1549666556490969</v>
      </c>
      <c r="G26" s="26">
        <f t="shared" si="18"/>
        <v>0.1328285619849402</v>
      </c>
      <c r="H26" s="26">
        <f t="shared" si="18"/>
        <v>0.12751541950554257</v>
      </c>
      <c r="I26" s="26">
        <f t="shared" si="18"/>
        <v>0.12220227702614496</v>
      </c>
      <c r="J26" s="26">
        <f t="shared" si="18"/>
        <v>0.12220227702614497</v>
      </c>
      <c r="K26" s="26">
        <f t="shared" ref="K26" si="19">K24/K21</f>
        <v>0.12220227702614496</v>
      </c>
    </row>
    <row r="27" spans="2:11" x14ac:dyDescent="0.2">
      <c r="B27" s="25" t="s">
        <v>42</v>
      </c>
      <c r="C27" s="26">
        <f>-C24/C18</f>
        <v>4.1762642502192339E-2</v>
      </c>
      <c r="D27" s="26">
        <f>-D24/D18</f>
        <v>4.1335294358458216E-2</v>
      </c>
      <c r="E27" s="26">
        <f>-E24/E18</f>
        <v>3.9296599071093383E-2</v>
      </c>
      <c r="F27" s="26">
        <f t="shared" ref="F27:J27" si="20">-F24/F18</f>
        <v>4.9016611307939863E-2</v>
      </c>
      <c r="G27" s="26">
        <f t="shared" si="20"/>
        <v>4.6406055220886498E-2</v>
      </c>
      <c r="H27" s="26">
        <f t="shared" si="20"/>
        <v>4.6459258911696937E-2</v>
      </c>
      <c r="I27" s="26">
        <f t="shared" si="20"/>
        <v>4.3139091705232828E-2</v>
      </c>
      <c r="J27" s="26">
        <f t="shared" si="20"/>
        <v>4.1093477946457173E-2</v>
      </c>
      <c r="K27" s="26">
        <f t="shared" ref="K27" si="21">-K24/K18</f>
        <v>3.7715148286984281E-2</v>
      </c>
    </row>
    <row r="28" spans="2:11" x14ac:dyDescent="0.2">
      <c r="B28" t="s">
        <v>16</v>
      </c>
      <c r="C28" s="14">
        <v>-28567</v>
      </c>
      <c r="D28" s="14">
        <v>-35011</v>
      </c>
      <c r="E28" s="14">
        <v>-63613</v>
      </c>
      <c r="F28" s="14">
        <v>-85453</v>
      </c>
      <c r="G28" s="31">
        <f t="shared" ref="G28:J28" si="22">-G18*G29</f>
        <v>-103052.06890000001</v>
      </c>
      <c r="H28" s="31">
        <f t="shared" si="22"/>
        <v>-123520.86827099998</v>
      </c>
      <c r="I28" s="31">
        <f t="shared" si="22"/>
        <v>-152981.69106326994</v>
      </c>
      <c r="J28" s="31">
        <f t="shared" si="22"/>
        <v>-176656.75145478567</v>
      </c>
      <c r="K28" s="31">
        <f t="shared" ref="K28" si="23">-K18*K29</f>
        <v>-211728.83349780715</v>
      </c>
    </row>
    <row r="29" spans="2:11" x14ac:dyDescent="0.2">
      <c r="B29" s="25" t="s">
        <v>42</v>
      </c>
      <c r="C29" s="26">
        <f>-C28/C18</f>
        <v>4.1752411575562698E-2</v>
      </c>
      <c r="D29" s="26">
        <f t="shared" ref="D29:F29" si="24">-D28/D18</f>
        <v>3.4957968761388972E-2</v>
      </c>
      <c r="E29" s="26">
        <f t="shared" si="24"/>
        <v>4.782335437832571E-2</v>
      </c>
      <c r="F29" s="26">
        <f t="shared" si="24"/>
        <v>5.2552149027619503E-2</v>
      </c>
      <c r="G29" s="29">
        <v>0.05</v>
      </c>
      <c r="H29" s="29">
        <v>0.05</v>
      </c>
      <c r="I29" s="29">
        <v>0.05</v>
      </c>
      <c r="J29" s="29">
        <v>0.05</v>
      </c>
      <c r="K29" s="29">
        <v>0.05</v>
      </c>
    </row>
    <row r="30" spans="2:11" x14ac:dyDescent="0.2">
      <c r="B30" t="s">
        <v>17</v>
      </c>
      <c r="C30" s="14">
        <v>-101889</v>
      </c>
      <c r="D30" s="14">
        <v>-131236</v>
      </c>
      <c r="E30" s="14">
        <v>-221237</v>
      </c>
      <c r="F30" s="14">
        <v>-264737</v>
      </c>
      <c r="G30" s="31">
        <f t="shared" ref="G30:J30" si="25">-G18*G31</f>
        <v>-309156.20669999998</v>
      </c>
      <c r="H30" s="31">
        <f t="shared" si="25"/>
        <v>-345858.43115879997</v>
      </c>
      <c r="I30" s="31">
        <f t="shared" si="25"/>
        <v>-428348.73497715592</v>
      </c>
      <c r="J30" s="31">
        <f t="shared" si="25"/>
        <v>-494638.9040733999</v>
      </c>
      <c r="K30" s="31">
        <f t="shared" ref="K30" si="26">-K18*K31</f>
        <v>-592840.73379386007</v>
      </c>
    </row>
    <row r="31" spans="2:11" x14ac:dyDescent="0.2">
      <c r="B31" s="25" t="s">
        <v>42</v>
      </c>
      <c r="C31" s="26">
        <f>-C30/C18</f>
        <v>0.14891698333820522</v>
      </c>
      <c r="D31" s="26">
        <f t="shared" ref="D31:F31" si="27">-D30/D18</f>
        <v>0.13103721654250503</v>
      </c>
      <c r="E31" s="26">
        <f t="shared" si="27"/>
        <v>0.16632284993000873</v>
      </c>
      <c r="F31" s="26">
        <f t="shared" si="27"/>
        <v>0.16280877531654717</v>
      </c>
      <c r="G31" s="29">
        <v>0.15</v>
      </c>
      <c r="H31" s="29">
        <v>0.14000000000000001</v>
      </c>
      <c r="I31" s="29">
        <v>0.14000000000000001</v>
      </c>
      <c r="J31" s="29">
        <v>0.14000000000000001</v>
      </c>
      <c r="K31" s="29">
        <v>0.14000000000000001</v>
      </c>
    </row>
    <row r="32" spans="2:11" x14ac:dyDescent="0.2">
      <c r="B32" t="s">
        <v>18</v>
      </c>
      <c r="C32" s="14">
        <v>183</v>
      </c>
      <c r="D32" s="14">
        <v>250</v>
      </c>
      <c r="E32" s="14">
        <v>-54</v>
      </c>
      <c r="F32" s="14">
        <v>-24255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x14ac:dyDescent="0.2">
      <c r="B33" s="9" t="s">
        <v>43</v>
      </c>
      <c r="C33" s="17">
        <f>C18+C21+C24+C28+C30+C32</f>
        <v>373913</v>
      </c>
      <c r="D33" s="17">
        <f>D18+D21+D24+D28+D30+D32</f>
        <v>594981</v>
      </c>
      <c r="E33" s="17">
        <f>E18+E21+E24+E28+E30+E32</f>
        <v>664675</v>
      </c>
      <c r="F33" s="17">
        <f t="shared" ref="F33:J33" si="28">F18+F21+F24+F28+F30+F32</f>
        <v>657582</v>
      </c>
      <c r="G33" s="17">
        <f t="shared" si="28"/>
        <v>833126.30239999993</v>
      </c>
      <c r="H33" s="17">
        <f t="shared" si="28"/>
        <v>986186.80599019979</v>
      </c>
      <c r="I33" s="17">
        <f t="shared" si="28"/>
        <v>1266220.5712249731</v>
      </c>
      <c r="J33" s="17">
        <f t="shared" si="28"/>
        <v>1528548.2671675275</v>
      </c>
      <c r="K33" s="17">
        <f t="shared" ref="K33" si="29">K18+K21+K24+K28+K30+K32</f>
        <v>1963386.8856244751</v>
      </c>
    </row>
    <row r="34" spans="2:11" x14ac:dyDescent="0.2">
      <c r="B34" s="25" t="s">
        <v>45</v>
      </c>
      <c r="C34" s="26">
        <f>C33/C18</f>
        <v>0.54649663840982166</v>
      </c>
      <c r="D34" s="26">
        <f t="shared" ref="D34:J34" si="30">D33/D18</f>
        <v>0.5940797809722651</v>
      </c>
      <c r="E34" s="26">
        <f t="shared" si="30"/>
        <v>0.49969327136613023</v>
      </c>
      <c r="F34" s="26">
        <f t="shared" si="30"/>
        <v>0.40440180288439365</v>
      </c>
      <c r="G34" s="26">
        <f t="shared" si="30"/>
        <v>0.40422589827306221</v>
      </c>
      <c r="H34" s="26">
        <f t="shared" si="30"/>
        <v>0.39919845925408504</v>
      </c>
      <c r="I34" s="26">
        <f t="shared" si="30"/>
        <v>0.41384709582707235</v>
      </c>
      <c r="J34" s="26">
        <f t="shared" si="30"/>
        <v>0.4326322811270395</v>
      </c>
      <c r="K34" s="26">
        <f t="shared" ref="K34" si="31">K33/K18</f>
        <v>0.46365600121364897</v>
      </c>
    </row>
    <row r="35" spans="2:11" x14ac:dyDescent="0.2">
      <c r="B35" s="9" t="s">
        <v>46</v>
      </c>
      <c r="C35" s="17">
        <f>C33-C28</f>
        <v>402480</v>
      </c>
      <c r="D35" s="17">
        <f t="shared" ref="D35:J35" si="32">D33-D28</f>
        <v>629992</v>
      </c>
      <c r="E35" s="17">
        <f t="shared" si="32"/>
        <v>728288</v>
      </c>
      <c r="F35" s="17">
        <f t="shared" si="32"/>
        <v>743035</v>
      </c>
      <c r="G35" s="17">
        <f t="shared" si="32"/>
        <v>936178.3713</v>
      </c>
      <c r="H35" s="17">
        <f t="shared" si="32"/>
        <v>1109707.6742611998</v>
      </c>
      <c r="I35" s="17">
        <f t="shared" si="32"/>
        <v>1419202.262288243</v>
      </c>
      <c r="J35" s="17">
        <f t="shared" si="32"/>
        <v>1705205.0186223132</v>
      </c>
      <c r="K35" s="17">
        <f t="shared" ref="K35" si="33">K33-K28</f>
        <v>2175115.7191222822</v>
      </c>
    </row>
    <row r="36" spans="2:11" x14ac:dyDescent="0.2">
      <c r="B36" t="s">
        <v>20</v>
      </c>
      <c r="C36" s="14">
        <v>1334</v>
      </c>
      <c r="D36" s="14">
        <v>1039</v>
      </c>
      <c r="E36" s="14">
        <v>29323</v>
      </c>
      <c r="F36" s="14">
        <v>246401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x14ac:dyDescent="0.2">
      <c r="B37" t="s">
        <v>21</v>
      </c>
      <c r="C37" s="14">
        <v>-9406</v>
      </c>
      <c r="D37" s="14">
        <v>-12788</v>
      </c>
      <c r="E37" s="14">
        <v>-11963</v>
      </c>
      <c r="F37" s="14">
        <v>-4783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x14ac:dyDescent="0.2">
      <c r="B38" t="s">
        <v>22</v>
      </c>
      <c r="C38" s="14">
        <v>-42661</v>
      </c>
      <c r="D38" s="14">
        <v>-2385</v>
      </c>
      <c r="E38" s="14">
        <v>37904</v>
      </c>
      <c r="F38" s="14">
        <v>43409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x14ac:dyDescent="0.2">
      <c r="B39" s="9" t="s">
        <v>23</v>
      </c>
      <c r="C39" s="19">
        <f>C36+C37+C38</f>
        <v>-50733</v>
      </c>
      <c r="D39" s="19">
        <f>D36+D37+D38</f>
        <v>-14134</v>
      </c>
      <c r="E39" s="19">
        <f>E36+E37+E38</f>
        <v>55264</v>
      </c>
      <c r="F39" s="19">
        <f t="shared" ref="F39:J39" si="34">F36+F37+F38</f>
        <v>285027</v>
      </c>
      <c r="G39" s="19">
        <f t="shared" si="34"/>
        <v>0</v>
      </c>
      <c r="H39" s="19">
        <f t="shared" si="34"/>
        <v>0</v>
      </c>
      <c r="I39" s="19">
        <f t="shared" si="34"/>
        <v>0</v>
      </c>
      <c r="J39" s="19">
        <f t="shared" si="34"/>
        <v>0</v>
      </c>
      <c r="K39" s="19">
        <f t="shared" ref="K39" si="35">K36+K37+K38</f>
        <v>0</v>
      </c>
    </row>
    <row r="40" spans="2:11" x14ac:dyDescent="0.2">
      <c r="B40" s="9" t="s">
        <v>24</v>
      </c>
      <c r="C40" s="19">
        <f>C33+C39</f>
        <v>323180</v>
      </c>
      <c r="D40" s="19">
        <f>D33+D39</f>
        <v>580847</v>
      </c>
      <c r="E40" s="19">
        <f>E33+E39</f>
        <v>719939</v>
      </c>
      <c r="F40" s="19">
        <f t="shared" ref="F40:J40" si="36">F33+F39</f>
        <v>942609</v>
      </c>
      <c r="G40" s="19">
        <f t="shared" si="36"/>
        <v>833126.30239999993</v>
      </c>
      <c r="H40" s="19">
        <f t="shared" si="36"/>
        <v>986186.80599019979</v>
      </c>
      <c r="I40" s="19">
        <f t="shared" si="36"/>
        <v>1266220.5712249731</v>
      </c>
      <c r="J40" s="19">
        <f t="shared" si="36"/>
        <v>1528548.2671675275</v>
      </c>
      <c r="K40" s="19">
        <f t="shared" ref="K40" si="37">K33+K39</f>
        <v>1963386.8856244751</v>
      </c>
    </row>
    <row r="41" spans="2:11" x14ac:dyDescent="0.2">
      <c r="B41" t="s">
        <v>25</v>
      </c>
      <c r="C41" s="14">
        <v>-62161</v>
      </c>
      <c r="D41" s="14">
        <v>-111130</v>
      </c>
      <c r="E41" s="14">
        <v>-155800</v>
      </c>
      <c r="F41" s="14">
        <v>-244287</v>
      </c>
      <c r="G41" s="16">
        <f t="shared" ref="G41:J41" si="38">-G40*G42</f>
        <v>-166625.26048</v>
      </c>
      <c r="H41" s="16">
        <f t="shared" si="38"/>
        <v>-197237.36119803996</v>
      </c>
      <c r="I41" s="16">
        <f t="shared" si="38"/>
        <v>-253244.11424499462</v>
      </c>
      <c r="J41" s="16">
        <f t="shared" si="38"/>
        <v>-305709.6534335055</v>
      </c>
      <c r="K41" s="16">
        <f t="shared" ref="K41" si="39">-K40*K42</f>
        <v>-392677.37712489505</v>
      </c>
    </row>
    <row r="42" spans="2:11" x14ac:dyDescent="0.2">
      <c r="B42" s="25" t="s">
        <v>47</v>
      </c>
      <c r="C42" s="26">
        <f>-C41/C40</f>
        <v>0.19234172906739277</v>
      </c>
      <c r="D42" s="26">
        <f t="shared" ref="D42:F42" si="40">-D41/D40</f>
        <v>0.19132404919023427</v>
      </c>
      <c r="E42" s="26">
        <f t="shared" si="40"/>
        <v>0.2164072233897594</v>
      </c>
      <c r="F42" s="26">
        <f t="shared" si="40"/>
        <v>0.25916047905335088</v>
      </c>
      <c r="G42" s="29">
        <v>0.2</v>
      </c>
      <c r="H42" s="29">
        <v>0.2</v>
      </c>
      <c r="I42" s="29">
        <v>0.2</v>
      </c>
      <c r="J42" s="29">
        <v>0.2</v>
      </c>
      <c r="K42" s="29">
        <v>0.2</v>
      </c>
    </row>
    <row r="43" spans="2:11" x14ac:dyDescent="0.2">
      <c r="B43" s="9" t="s">
        <v>26</v>
      </c>
      <c r="C43" s="19">
        <f>C40+C41</f>
        <v>261019</v>
      </c>
      <c r="D43" s="19">
        <f>D40+D41</f>
        <v>469717</v>
      </c>
      <c r="E43" s="19">
        <f>E40+E41</f>
        <v>564139</v>
      </c>
      <c r="F43" s="19">
        <f t="shared" ref="F43:J43" si="41">F40+F41</f>
        <v>698322</v>
      </c>
      <c r="G43" s="19">
        <f t="shared" si="41"/>
        <v>666501.04191999999</v>
      </c>
      <c r="H43" s="19">
        <f t="shared" si="41"/>
        <v>788949.44479215983</v>
      </c>
      <c r="I43" s="19">
        <f t="shared" si="41"/>
        <v>1012976.4569799785</v>
      </c>
      <c r="J43" s="19">
        <f t="shared" si="41"/>
        <v>1222838.613734022</v>
      </c>
      <c r="K43" s="19">
        <f t="shared" ref="K43" si="42">K40+K41</f>
        <v>1570709.50849958</v>
      </c>
    </row>
    <row r="45" spans="2:11" x14ac:dyDescent="0.2">
      <c r="B45" t="s">
        <v>27</v>
      </c>
      <c r="C45" s="14">
        <v>30246923</v>
      </c>
      <c r="D45" s="14">
        <v>30499194</v>
      </c>
      <c r="E45" s="14">
        <v>30975325</v>
      </c>
      <c r="F45" s="14">
        <v>31012122</v>
      </c>
      <c r="G45" s="16">
        <f t="shared" ref="G45:K45" si="43">F45*(1+G46)</f>
        <v>31167182.609999996</v>
      </c>
      <c r="H45" s="16">
        <f t="shared" si="43"/>
        <v>31245100.566524994</v>
      </c>
      <c r="I45" s="16">
        <f t="shared" si="43"/>
        <v>31323213.317941304</v>
      </c>
      <c r="J45" s="16">
        <f t="shared" si="43"/>
        <v>31354536.531259242</v>
      </c>
      <c r="K45" s="16">
        <f t="shared" si="43"/>
        <v>31040991.165946651</v>
      </c>
    </row>
    <row r="46" spans="2:11" x14ac:dyDescent="0.2">
      <c r="B46" s="25" t="s">
        <v>38</v>
      </c>
      <c r="C46" s="14"/>
      <c r="D46" s="26">
        <f>D45/C45-1</f>
        <v>8.3403855658310544E-3</v>
      </c>
      <c r="E46" s="26">
        <f>E45/D45-1</f>
        <v>1.5611265005888386E-2</v>
      </c>
      <c r="F46" s="26">
        <f>F45/E45-1</f>
        <v>1.187945566349935E-3</v>
      </c>
      <c r="G46" s="29">
        <v>5.0000000000000001E-3</v>
      </c>
      <c r="H46" s="29">
        <v>2.5000000000000001E-3</v>
      </c>
      <c r="I46" s="29">
        <v>2.5000000000000001E-3</v>
      </c>
      <c r="J46" s="29">
        <v>1E-3</v>
      </c>
      <c r="K46" s="29">
        <v>-0.01</v>
      </c>
    </row>
    <row r="47" spans="2:11" x14ac:dyDescent="0.2">
      <c r="B47" t="s">
        <v>29</v>
      </c>
      <c r="C47" s="14">
        <v>420676</v>
      </c>
      <c r="D47" s="14">
        <v>176621</v>
      </c>
      <c r="E47" s="14">
        <v>70704</v>
      </c>
      <c r="F47" s="14">
        <v>144868</v>
      </c>
      <c r="G47" s="16">
        <f t="shared" ref="G47:K47" si="44">F47*(1+G48)</f>
        <v>144868</v>
      </c>
      <c r="H47" s="16">
        <f t="shared" si="44"/>
        <v>144868</v>
      </c>
      <c r="I47" s="16">
        <f t="shared" si="44"/>
        <v>144868</v>
      </c>
      <c r="J47" s="16">
        <f t="shared" si="44"/>
        <v>144868</v>
      </c>
      <c r="K47" s="16">
        <f t="shared" si="44"/>
        <v>144868</v>
      </c>
    </row>
    <row r="48" spans="2:11" x14ac:dyDescent="0.2">
      <c r="B48" s="25" t="s">
        <v>38</v>
      </c>
      <c r="C48" s="14"/>
      <c r="D48" s="26">
        <f>D47/C47-1</f>
        <v>-0.58014956878928203</v>
      </c>
      <c r="E48" s="26">
        <f>E47/D47-1</f>
        <v>-0.59968520164646333</v>
      </c>
      <c r="F48" s="26">
        <f>F47/E47-1</f>
        <v>1.0489364109527042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</row>
    <row r="49" spans="2:11" x14ac:dyDescent="0.2">
      <c r="B49" s="9" t="s">
        <v>28</v>
      </c>
      <c r="C49" s="14">
        <f>C45+C47</f>
        <v>30667599</v>
      </c>
      <c r="D49" s="14">
        <f>D45+D47</f>
        <v>30675815</v>
      </c>
      <c r="E49" s="14">
        <f>E45+E47</f>
        <v>31046029</v>
      </c>
      <c r="F49" s="14">
        <v>31156990</v>
      </c>
      <c r="G49" s="16">
        <f t="shared" ref="G49:J49" si="45">G45+G47</f>
        <v>31312050.609999996</v>
      </c>
      <c r="H49" s="16">
        <f t="shared" si="45"/>
        <v>31389968.566524994</v>
      </c>
      <c r="I49" s="16">
        <f t="shared" si="45"/>
        <v>31468081.317941304</v>
      </c>
      <c r="J49" s="16">
        <f t="shared" si="45"/>
        <v>31499404.531259242</v>
      </c>
      <c r="K49" s="16">
        <f t="shared" ref="K49" si="46">K45+K47</f>
        <v>31185859.165946651</v>
      </c>
    </row>
    <row r="50" spans="2:11" x14ac:dyDescent="0.2">
      <c r="D50" s="14"/>
      <c r="E50" s="14"/>
    </row>
    <row r="51" spans="2:11" x14ac:dyDescent="0.2">
      <c r="B51" t="s">
        <v>30</v>
      </c>
      <c r="C51" s="20">
        <f>(C43*1000)/C45</f>
        <v>8.6296050675964633</v>
      </c>
      <c r="D51" s="20">
        <f>(D43*1000)/D45</f>
        <v>15.400964366468177</v>
      </c>
      <c r="E51" s="20">
        <f>(E43*1000)/E45</f>
        <v>18.212528843523032</v>
      </c>
      <c r="F51" s="20">
        <f t="shared" ref="F51:J51" si="47">(F43*1000)/F45</f>
        <v>22.517710977662219</v>
      </c>
      <c r="G51" s="20">
        <f t="shared" si="47"/>
        <v>21.384706159040277</v>
      </c>
      <c r="H51" s="20">
        <f t="shared" si="47"/>
        <v>25.250341029064092</v>
      </c>
      <c r="I51" s="20">
        <f t="shared" si="47"/>
        <v>32.339480841187068</v>
      </c>
      <c r="J51" s="20">
        <f t="shared" si="47"/>
        <v>39.000372801393503</v>
      </c>
      <c r="K51" s="20">
        <f t="shared" ref="K51" si="48">(K43*1000)/K45</f>
        <v>50.601138993999591</v>
      </c>
    </row>
    <row r="52" spans="2:11" x14ac:dyDescent="0.2">
      <c r="B52" s="9" t="s">
        <v>31</v>
      </c>
      <c r="C52" s="21">
        <f>(C43*1000)/C49</f>
        <v>8.5112303705288443</v>
      </c>
      <c r="D52" s="21">
        <f>(D43*1000)/D49</f>
        <v>15.312290806291536</v>
      </c>
      <c r="E52" s="21">
        <f>(E43*1000)/E49</f>
        <v>18.171051763173963</v>
      </c>
      <c r="F52" s="21">
        <f t="shared" ref="F52:J52" si="49">(F43*1000)/F49</f>
        <v>22.413012296759089</v>
      </c>
      <c r="G52" s="21">
        <f t="shared" si="49"/>
        <v>21.285767905189267</v>
      </c>
      <c r="H52" s="21">
        <f t="shared" si="49"/>
        <v>25.13380805463801</v>
      </c>
      <c r="I52" s="21">
        <f t="shared" si="49"/>
        <v>32.190601223673497</v>
      </c>
      <c r="J52" s="21">
        <f t="shared" si="49"/>
        <v>38.821007315249616</v>
      </c>
      <c r="K52" s="21">
        <f t="shared" ref="K52" si="50">(K43*1000)/K49</f>
        <v>50.366080990153179</v>
      </c>
    </row>
    <row r="55" spans="2:11" ht="17" thickBot="1" x14ac:dyDescent="0.25">
      <c r="B55" s="5" t="s">
        <v>36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B56" t="s">
        <v>9</v>
      </c>
      <c r="C56" s="6">
        <f>D56-1</f>
        <v>2020</v>
      </c>
      <c r="D56" s="6">
        <f>E56-1</f>
        <v>2021</v>
      </c>
      <c r="E56" s="6">
        <v>2022</v>
      </c>
      <c r="F56" s="6">
        <f>E56+1</f>
        <v>2023</v>
      </c>
      <c r="G56" s="7">
        <f t="shared" ref="G56:K56" si="51">F56+1</f>
        <v>2024</v>
      </c>
      <c r="H56" s="7">
        <f t="shared" si="51"/>
        <v>2025</v>
      </c>
      <c r="I56" s="7">
        <f t="shared" si="51"/>
        <v>2026</v>
      </c>
      <c r="J56" s="7">
        <f t="shared" si="51"/>
        <v>2027</v>
      </c>
      <c r="K56" s="7">
        <f t="shared" si="51"/>
        <v>2028</v>
      </c>
    </row>
    <row r="57" spans="2:11" ht="17" thickBot="1" x14ac:dyDescent="0.25">
      <c r="B57" s="4" t="s">
        <v>10</v>
      </c>
      <c r="C57" s="13">
        <v>44196</v>
      </c>
      <c r="D57" s="13">
        <v>44561</v>
      </c>
      <c r="E57" s="13">
        <v>44926</v>
      </c>
      <c r="F57" s="13">
        <f>EOMONTH(E57,12)</f>
        <v>45291</v>
      </c>
      <c r="G57" s="8">
        <f t="shared" ref="G57:K57" si="52">EOMONTH(F57,12)</f>
        <v>45657</v>
      </c>
      <c r="H57" s="8">
        <f t="shared" si="52"/>
        <v>46022</v>
      </c>
      <c r="I57" s="8">
        <f t="shared" si="52"/>
        <v>46387</v>
      </c>
      <c r="J57" s="8">
        <f t="shared" si="52"/>
        <v>46752</v>
      </c>
      <c r="K57" s="8">
        <f t="shared" si="52"/>
        <v>47118</v>
      </c>
    </row>
    <row r="59" spans="2:11" x14ac:dyDescent="0.2">
      <c r="B59" t="s">
        <v>37</v>
      </c>
      <c r="C59" s="14">
        <v>303600000</v>
      </c>
      <c r="D59" s="14">
        <v>516000000</v>
      </c>
      <c r="E59" s="14">
        <v>767500000</v>
      </c>
      <c r="F59" s="14">
        <v>970100000</v>
      </c>
      <c r="G59" s="18">
        <f t="shared" ref="G59:K59" si="53">F59*(1+G60)</f>
        <v>1222326000</v>
      </c>
      <c r="H59" s="18">
        <f t="shared" si="53"/>
        <v>1515684240</v>
      </c>
      <c r="I59" s="18">
        <f t="shared" si="53"/>
        <v>1818821088</v>
      </c>
      <c r="J59" s="18">
        <f t="shared" si="53"/>
        <v>2146208883.8399999</v>
      </c>
      <c r="K59" s="18">
        <f t="shared" si="53"/>
        <v>2468140216.4159999</v>
      </c>
    </row>
    <row r="60" spans="2:11" s="26" customFormat="1" ht="15" x14ac:dyDescent="0.2">
      <c r="B60" s="25" t="s">
        <v>38</v>
      </c>
      <c r="D60" s="26">
        <f>D59/C59-1</f>
        <v>0.69960474308300391</v>
      </c>
      <c r="E60" s="26">
        <f>E59/D59-1</f>
        <v>0.48740310077519378</v>
      </c>
      <c r="F60" s="26">
        <f>F59/E59-1</f>
        <v>0.26397394136807817</v>
      </c>
      <c r="G60" s="29">
        <v>0.26</v>
      </c>
      <c r="H60" s="29">
        <v>0.24</v>
      </c>
      <c r="I60" s="29">
        <v>0.2</v>
      </c>
      <c r="J60" s="29">
        <v>0.18</v>
      </c>
      <c r="K60" s="29">
        <v>0.15</v>
      </c>
    </row>
    <row r="61" spans="2:11" x14ac:dyDescent="0.2">
      <c r="B61" t="s">
        <v>32</v>
      </c>
      <c r="C61" s="14">
        <v>3293512</v>
      </c>
      <c r="D61" s="14">
        <v>5525079</v>
      </c>
      <c r="E61" s="14">
        <v>8270626</v>
      </c>
      <c r="F61" s="14">
        <v>1081791</v>
      </c>
      <c r="G61" s="18">
        <f>G59*G63</f>
        <v>1466791.2</v>
      </c>
      <c r="H61" s="18">
        <f t="shared" ref="H61:J61" si="54">H59*H63</f>
        <v>1818821.0879999998</v>
      </c>
      <c r="I61" s="18">
        <f t="shared" si="54"/>
        <v>2364467.4143999997</v>
      </c>
      <c r="J61" s="18">
        <f t="shared" si="54"/>
        <v>2790071.5489919996</v>
      </c>
      <c r="K61" s="18">
        <f t="shared" ref="K61" si="55">K59*K63</f>
        <v>3455396.3029823997</v>
      </c>
    </row>
    <row r="62" spans="2:11" s="26" customFormat="1" ht="15" x14ac:dyDescent="0.2">
      <c r="B62" s="25" t="s">
        <v>38</v>
      </c>
      <c r="D62" s="26">
        <f>D61/C61-1</f>
        <v>0.67756455722645015</v>
      </c>
      <c r="E62" s="26">
        <f>E61/D61-1</f>
        <v>0.4969244783649247</v>
      </c>
      <c r="F62" s="26">
        <f>F61/E61-1</f>
        <v>-0.86920083195637188</v>
      </c>
      <c r="G62" s="26">
        <f t="shared" ref="G62:K62" si="56">G61/F61-1</f>
        <v>0.35589147996239556</v>
      </c>
      <c r="H62" s="26">
        <f>H61/G61-1</f>
        <v>0.23999999999999977</v>
      </c>
      <c r="I62" s="26">
        <f t="shared" si="56"/>
        <v>0.30000000000000004</v>
      </c>
      <c r="J62" s="26">
        <f t="shared" si="56"/>
        <v>0.17999999999999994</v>
      </c>
      <c r="K62" s="26">
        <f t="shared" si="56"/>
        <v>0.2384615384615385</v>
      </c>
    </row>
    <row r="63" spans="2:11" s="26" customFormat="1" ht="15" x14ac:dyDescent="0.2">
      <c r="B63" s="25" t="s">
        <v>39</v>
      </c>
      <c r="C63" s="27">
        <f>C61/C59</f>
        <v>1.0848194993412386E-2</v>
      </c>
      <c r="D63" s="27">
        <f t="shared" ref="D63" si="57">D61/D59</f>
        <v>1.0707517441860465E-2</v>
      </c>
      <c r="E63" s="27">
        <f>E61/E59</f>
        <v>1.077605993485342E-2</v>
      </c>
      <c r="F63" s="27">
        <f>F61/F59</f>
        <v>1.1151334913926398E-3</v>
      </c>
      <c r="G63" s="30">
        <v>1.1999999999999999E-3</v>
      </c>
      <c r="H63" s="30">
        <v>1.1999999999999999E-3</v>
      </c>
      <c r="I63" s="30">
        <v>1.2999999999999999E-3</v>
      </c>
      <c r="J63" s="30">
        <v>1.2999999999999999E-3</v>
      </c>
      <c r="K63" s="30">
        <v>1.4E-3</v>
      </c>
    </row>
    <row r="64" spans="2:11" s="26" customFormat="1" ht="15" x14ac:dyDescent="0.2">
      <c r="B64" s="25" t="s">
        <v>40</v>
      </c>
      <c r="C64" s="28">
        <f>C16</f>
        <v>-2935182</v>
      </c>
      <c r="D64" s="28">
        <f>D16</f>
        <v>-4960951</v>
      </c>
      <c r="E64" s="28">
        <f>E16</f>
        <v>-7550960</v>
      </c>
      <c r="F64" s="28">
        <f>F16</f>
        <v>-147811</v>
      </c>
      <c r="G64" s="28">
        <f>-G61*G65</f>
        <v>-198016.81200000001</v>
      </c>
      <c r="H64" s="28">
        <f t="shared" ref="H64:J64" si="58">-H61*H65</f>
        <v>-245540.84688</v>
      </c>
      <c r="I64" s="28">
        <f t="shared" si="58"/>
        <v>-316838.63352959999</v>
      </c>
      <c r="J64" s="28">
        <f t="shared" si="58"/>
        <v>-371079.51601593598</v>
      </c>
      <c r="K64" s="28">
        <f t="shared" ref="K64" si="59">-K61*K65</f>
        <v>-456112.31199367676</v>
      </c>
    </row>
    <row r="65" spans="2:11" s="26" customFormat="1" ht="15" x14ac:dyDescent="0.2">
      <c r="B65" s="25" t="s">
        <v>100</v>
      </c>
      <c r="C65" s="26">
        <f>-C64/C61</f>
        <v>0.89120124657204836</v>
      </c>
      <c r="D65" s="26">
        <f t="shared" ref="D65:E65" si="60">-D64/D61</f>
        <v>0.89789684455190599</v>
      </c>
      <c r="E65" s="26">
        <f t="shared" si="60"/>
        <v>0.91298530486084128</v>
      </c>
      <c r="F65" s="26">
        <f t="shared" ref="F65" si="61">-F64/F61</f>
        <v>0.13663544991592647</v>
      </c>
      <c r="G65" s="29">
        <v>0.13500000000000001</v>
      </c>
      <c r="H65" s="29">
        <v>0.13500000000000001</v>
      </c>
      <c r="I65" s="29">
        <v>0.13400000000000001</v>
      </c>
      <c r="J65" s="29">
        <v>0.13300000000000001</v>
      </c>
      <c r="K65" s="29">
        <v>0.13200000000000001</v>
      </c>
    </row>
    <row r="66" spans="2:11" s="26" customFormat="1" ht="15" x14ac:dyDescent="0.2">
      <c r="B66" s="25" t="s">
        <v>41</v>
      </c>
      <c r="C66" s="28">
        <f>C61+C64</f>
        <v>358330</v>
      </c>
      <c r="D66" s="28">
        <f t="shared" ref="D66:E66" si="62">D61+D64</f>
        <v>564128</v>
      </c>
      <c r="E66" s="28">
        <f t="shared" si="62"/>
        <v>719666</v>
      </c>
      <c r="F66" s="28">
        <f t="shared" ref="F66" si="63">F61+F64</f>
        <v>933980</v>
      </c>
      <c r="G66" s="28">
        <f t="shared" ref="G66:J66" si="64">G61+G64</f>
        <v>1268774.388</v>
      </c>
      <c r="H66" s="28">
        <f t="shared" si="64"/>
        <v>1573280.2411199997</v>
      </c>
      <c r="I66" s="28">
        <f t="shared" si="64"/>
        <v>2047628.7808703997</v>
      </c>
      <c r="J66" s="28">
        <f t="shared" si="64"/>
        <v>2418992.0329760634</v>
      </c>
      <c r="K66" s="28">
        <f t="shared" ref="K66" si="65">K61+K64</f>
        <v>2999283.990988723</v>
      </c>
    </row>
    <row r="67" spans="2:11" x14ac:dyDescent="0.2">
      <c r="B67" t="s">
        <v>33</v>
      </c>
      <c r="C67" s="14">
        <v>217208</v>
      </c>
      <c r="D67" s="14">
        <v>289824</v>
      </c>
      <c r="E67" s="14">
        <v>387541</v>
      </c>
      <c r="F67" s="14">
        <v>460853</v>
      </c>
      <c r="G67" s="18">
        <f t="shared" ref="G67:K67" si="66">F67*(1+G68)</f>
        <v>543806.53999999992</v>
      </c>
      <c r="H67" s="18">
        <f t="shared" si="66"/>
        <v>636253.65179999988</v>
      </c>
      <c r="I67" s="18">
        <f t="shared" si="66"/>
        <v>731691.69956999982</v>
      </c>
      <c r="J67" s="18">
        <f t="shared" si="66"/>
        <v>819494.70351839985</v>
      </c>
      <c r="K67" s="18">
        <f t="shared" si="66"/>
        <v>917834.0679406079</v>
      </c>
    </row>
    <row r="68" spans="2:11" x14ac:dyDescent="0.2">
      <c r="B68" s="25" t="s">
        <v>38</v>
      </c>
      <c r="C68" s="26"/>
      <c r="D68" s="26">
        <f>D67/C67-1</f>
        <v>0.3343154948252367</v>
      </c>
      <c r="E68" s="26">
        <f>E67/D67-1</f>
        <v>0.33715979352986647</v>
      </c>
      <c r="F68" s="26">
        <f>F67/E67-1</f>
        <v>0.18917224242080199</v>
      </c>
      <c r="G68" s="29">
        <v>0.18</v>
      </c>
      <c r="H68" s="29">
        <v>0.17</v>
      </c>
      <c r="I68" s="29">
        <v>0.15</v>
      </c>
      <c r="J68" s="29">
        <v>0.12</v>
      </c>
      <c r="K68" s="29">
        <v>0.12</v>
      </c>
    </row>
    <row r="69" spans="2:11" x14ac:dyDescent="0.2">
      <c r="B69" t="s">
        <v>34</v>
      </c>
      <c r="C69" s="14">
        <v>19353</v>
      </c>
      <c r="D69" s="14">
        <v>33042</v>
      </c>
      <c r="E69" s="14">
        <v>55710</v>
      </c>
      <c r="F69" s="14">
        <v>84133</v>
      </c>
      <c r="G69" s="18">
        <f t="shared" ref="G69:K69" si="67">F69*(1+G70)</f>
        <v>100959.59999999999</v>
      </c>
      <c r="H69" s="18">
        <f t="shared" si="67"/>
        <v>116103.53999999998</v>
      </c>
      <c r="I69" s="18">
        <f t="shared" si="67"/>
        <v>127713.89399999999</v>
      </c>
      <c r="J69" s="18">
        <f t="shared" si="67"/>
        <v>140485.28339999999</v>
      </c>
      <c r="K69" s="18">
        <f t="shared" si="67"/>
        <v>154533.81174</v>
      </c>
    </row>
    <row r="70" spans="2:11" x14ac:dyDescent="0.2">
      <c r="B70" s="25" t="s">
        <v>38</v>
      </c>
      <c r="C70" s="14"/>
      <c r="D70" s="26">
        <f>D69/C69-1</f>
        <v>0.70733219655867297</v>
      </c>
      <c r="E70" s="26">
        <f>E69/D69-1</f>
        <v>0.68603595424005803</v>
      </c>
      <c r="F70" s="26">
        <f>F69/E69-1</f>
        <v>0.51019565607610851</v>
      </c>
      <c r="G70" s="29">
        <v>0.2</v>
      </c>
      <c r="H70" s="29">
        <v>0.15</v>
      </c>
      <c r="I70" s="29">
        <v>0.1</v>
      </c>
      <c r="J70" s="29">
        <v>0.1</v>
      </c>
      <c r="K70" s="29">
        <v>0.1</v>
      </c>
    </row>
    <row r="71" spans="2:11" x14ac:dyDescent="0.2">
      <c r="B71" s="25" t="s">
        <v>101</v>
      </c>
      <c r="C71" s="47">
        <f>-C17/C69</f>
        <v>1.1371363612876557</v>
      </c>
      <c r="D71" s="47">
        <f t="shared" ref="D71:E71" si="68">-D17/D69</f>
        <v>0.99724592942315837</v>
      </c>
      <c r="E71" s="47">
        <f t="shared" si="68"/>
        <v>0.97801112906120979</v>
      </c>
      <c r="F71" s="47">
        <f>-F17/F69</f>
        <v>1.0641959754198709</v>
      </c>
      <c r="G71" s="29">
        <v>1</v>
      </c>
      <c r="H71" s="29">
        <v>1</v>
      </c>
      <c r="I71" s="29">
        <v>0.95</v>
      </c>
      <c r="J71" s="29">
        <v>0.95</v>
      </c>
      <c r="K71" s="29">
        <v>0.9</v>
      </c>
    </row>
    <row r="72" spans="2:11" x14ac:dyDescent="0.2">
      <c r="B72" t="s">
        <v>35</v>
      </c>
      <c r="C72" s="14">
        <v>111316</v>
      </c>
      <c r="D72" s="14">
        <v>147474</v>
      </c>
      <c r="E72" s="14">
        <v>221734</v>
      </c>
      <c r="F72" s="14">
        <v>236629</v>
      </c>
      <c r="G72" s="18">
        <f t="shared" ref="G72:K72" si="69">F72*(1+G73)</f>
        <v>248460.45</v>
      </c>
      <c r="H72" s="18">
        <f t="shared" si="69"/>
        <v>260883.47250000003</v>
      </c>
      <c r="I72" s="18">
        <f t="shared" si="69"/>
        <v>273927.64612500003</v>
      </c>
      <c r="J72" s="18">
        <f t="shared" si="69"/>
        <v>287624.02843125002</v>
      </c>
      <c r="K72" s="18">
        <f t="shared" si="69"/>
        <v>302005.22985281254</v>
      </c>
    </row>
    <row r="73" spans="2:11" x14ac:dyDescent="0.2">
      <c r="B73" s="25" t="s">
        <v>38</v>
      </c>
      <c r="D73" s="26">
        <f>D72/C72-1</f>
        <v>0.32482302633943005</v>
      </c>
      <c r="E73" s="26">
        <f>E72/D72-1</f>
        <v>0.5035463878378561</v>
      </c>
      <c r="F73" s="26">
        <f>F72/E72-1</f>
        <v>6.7175083658798318E-2</v>
      </c>
      <c r="G73" s="29">
        <v>0.05</v>
      </c>
      <c r="H73" s="29">
        <v>0.05</v>
      </c>
      <c r="I73" s="29">
        <v>0.05</v>
      </c>
      <c r="J73" s="29">
        <v>0.05</v>
      </c>
      <c r="K73" s="29">
        <v>0.05</v>
      </c>
    </row>
    <row r="75" spans="2:11" ht="17" thickBot="1" x14ac:dyDescent="0.25">
      <c r="B75" s="5" t="s">
        <v>48</v>
      </c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">
      <c r="B76" t="s">
        <v>9</v>
      </c>
      <c r="C76" s="6">
        <f>D76-1</f>
        <v>2020</v>
      </c>
      <c r="D76" s="6">
        <f>E76-1</f>
        <v>2021</v>
      </c>
      <c r="E76" s="6">
        <v>2022</v>
      </c>
      <c r="F76" s="7">
        <f>E76+1</f>
        <v>2023</v>
      </c>
      <c r="G76" s="7">
        <f t="shared" ref="G76:K76" si="70">F76+1</f>
        <v>2024</v>
      </c>
      <c r="H76" s="7">
        <f t="shared" si="70"/>
        <v>2025</v>
      </c>
      <c r="I76" s="7">
        <f t="shared" si="70"/>
        <v>2026</v>
      </c>
      <c r="J76" s="7">
        <f t="shared" si="70"/>
        <v>2027</v>
      </c>
      <c r="K76" s="7">
        <f t="shared" si="70"/>
        <v>2028</v>
      </c>
    </row>
    <row r="77" spans="2:11" ht="17" thickBot="1" x14ac:dyDescent="0.25">
      <c r="B77" s="4" t="s">
        <v>10</v>
      </c>
      <c r="C77" s="13">
        <v>44196</v>
      </c>
      <c r="D77" s="13">
        <v>44561</v>
      </c>
      <c r="E77" s="13">
        <v>44926</v>
      </c>
      <c r="F77" s="8">
        <f>EOMONTH(E77,12)</f>
        <v>45291</v>
      </c>
      <c r="G77" s="8">
        <f t="shared" ref="G77:K77" si="71">EOMONTH(F77,12)</f>
        <v>45657</v>
      </c>
      <c r="H77" s="8">
        <f t="shared" si="71"/>
        <v>46022</v>
      </c>
      <c r="I77" s="8">
        <f t="shared" si="71"/>
        <v>46387</v>
      </c>
      <c r="J77" s="8">
        <f t="shared" si="71"/>
        <v>46752</v>
      </c>
      <c r="K77" s="8">
        <f t="shared" si="71"/>
        <v>47118</v>
      </c>
    </row>
    <row r="78" spans="2:11" x14ac:dyDescent="0.2">
      <c r="B78" s="23"/>
      <c r="C78" s="22"/>
      <c r="D78" s="22"/>
      <c r="E78" s="22"/>
    </row>
    <row r="79" spans="2:11" x14ac:dyDescent="0.2">
      <c r="B79" s="24" t="s">
        <v>49</v>
      </c>
      <c r="C79" s="14">
        <v>2737486</v>
      </c>
      <c r="D79" s="14">
        <v>4616094</v>
      </c>
      <c r="E79" s="14">
        <v>6522345</v>
      </c>
      <c r="F79" s="14">
        <v>8306982</v>
      </c>
      <c r="G79" s="18">
        <f t="shared" ref="G79:K79" si="72">F79+G154</f>
        <v>10425848.15412</v>
      </c>
      <c r="H79" s="18">
        <f t="shared" si="72"/>
        <v>13178032.132571977</v>
      </c>
      <c r="I79" s="18">
        <f t="shared" si="72"/>
        <v>16219040.565674126</v>
      </c>
      <c r="J79" s="18">
        <f t="shared" si="72"/>
        <v>19204892.200268116</v>
      </c>
      <c r="K79" s="18">
        <f t="shared" si="72"/>
        <v>22862756.661103673</v>
      </c>
    </row>
    <row r="80" spans="2:11" x14ac:dyDescent="0.2">
      <c r="B80" t="s">
        <v>61</v>
      </c>
      <c r="C80" s="14">
        <v>12238</v>
      </c>
      <c r="D80" s="14">
        <v>0</v>
      </c>
      <c r="E80" s="14">
        <v>0</v>
      </c>
      <c r="F80" s="14">
        <v>0</v>
      </c>
      <c r="G80" s="32">
        <f t="shared" ref="G80:J80" si="73">F80</f>
        <v>0</v>
      </c>
      <c r="H80" s="32">
        <f t="shared" si="73"/>
        <v>0</v>
      </c>
      <c r="I80" s="32">
        <f t="shared" si="73"/>
        <v>0</v>
      </c>
      <c r="J80" s="32">
        <f t="shared" si="73"/>
        <v>0</v>
      </c>
      <c r="K80" s="32">
        <f t="shared" ref="K80" si="74">J80</f>
        <v>0</v>
      </c>
    </row>
    <row r="81" spans="2:11" x14ac:dyDescent="0.2">
      <c r="B81" t="s">
        <v>50</v>
      </c>
      <c r="C81" s="14">
        <v>8794</v>
      </c>
      <c r="D81" s="14">
        <v>6761</v>
      </c>
      <c r="E81" s="14">
        <v>12445</v>
      </c>
      <c r="F81" s="14">
        <v>7310</v>
      </c>
      <c r="G81" s="32">
        <f t="shared" ref="G81:J81" si="75">F81</f>
        <v>7310</v>
      </c>
      <c r="H81" s="32">
        <f t="shared" si="75"/>
        <v>7310</v>
      </c>
      <c r="I81" s="32">
        <f t="shared" si="75"/>
        <v>7310</v>
      </c>
      <c r="J81" s="32">
        <f t="shared" si="75"/>
        <v>7310</v>
      </c>
      <c r="K81" s="32">
        <f t="shared" ref="K81" si="76">J81</f>
        <v>7310</v>
      </c>
    </row>
    <row r="82" spans="2:11" x14ac:dyDescent="0.2">
      <c r="B82" t="s">
        <v>51</v>
      </c>
      <c r="C82" s="14">
        <v>75079</v>
      </c>
      <c r="D82" s="14">
        <v>56852</v>
      </c>
      <c r="E82" s="14">
        <v>89350</v>
      </c>
      <c r="F82" s="14">
        <v>134274</v>
      </c>
      <c r="G82" s="18">
        <f t="shared" ref="G82:K82" si="77">G18/G83</f>
        <v>93683.699000000008</v>
      </c>
      <c r="H82" s="18">
        <f t="shared" si="77"/>
        <v>112291.6984281818</v>
      </c>
      <c r="I82" s="18">
        <f t="shared" si="77"/>
        <v>139074.26460297269</v>
      </c>
      <c r="J82" s="18">
        <f t="shared" si="77"/>
        <v>160597.04677707786</v>
      </c>
      <c r="K82" s="18">
        <f t="shared" si="77"/>
        <v>192480.75772527923</v>
      </c>
    </row>
    <row r="83" spans="2:11" x14ac:dyDescent="0.2">
      <c r="B83" s="25" t="s">
        <v>107</v>
      </c>
      <c r="C83" s="14"/>
      <c r="D83" s="28">
        <f>AVERAGE(C82:D82)*365/D18</f>
        <v>24.040937397967284</v>
      </c>
      <c r="E83" s="28">
        <f>AVERAGE(D82:E82)*365/E18</f>
        <v>20.059049020949264</v>
      </c>
      <c r="F83" s="28">
        <f>AVERAGE(E82:F82)*365/F18</f>
        <v>25.098308120052078</v>
      </c>
      <c r="G83" s="34">
        <v>22</v>
      </c>
      <c r="H83" s="34">
        <v>22</v>
      </c>
      <c r="I83" s="34">
        <v>22</v>
      </c>
      <c r="J83" s="34">
        <v>22</v>
      </c>
      <c r="K83" s="34">
        <v>22</v>
      </c>
    </row>
    <row r="84" spans="2:11" x14ac:dyDescent="0.2">
      <c r="B84" t="s">
        <v>52</v>
      </c>
      <c r="C84" s="14">
        <v>883939</v>
      </c>
      <c r="D84" s="14">
        <v>633249</v>
      </c>
      <c r="E84" s="14">
        <v>369104</v>
      </c>
      <c r="F84" s="14">
        <v>490052</v>
      </c>
      <c r="G84" s="18">
        <f t="shared" ref="G84:K84" si="78">G59*G85</f>
        <v>611163</v>
      </c>
      <c r="H84" s="18">
        <f t="shared" si="78"/>
        <v>757842.12</v>
      </c>
      <c r="I84" s="18">
        <f t="shared" si="78"/>
        <v>909410.54399999999</v>
      </c>
      <c r="J84" s="18">
        <f t="shared" si="78"/>
        <v>1073104.4419199999</v>
      </c>
      <c r="K84" s="18">
        <f t="shared" si="78"/>
        <v>1234070.108208</v>
      </c>
    </row>
    <row r="85" spans="2:11" x14ac:dyDescent="0.2">
      <c r="B85" s="25" t="s">
        <v>108</v>
      </c>
      <c r="C85" s="27">
        <f>C84/C59</f>
        <v>2.9115250329380766E-3</v>
      </c>
      <c r="D85" s="27">
        <f t="shared" ref="D85:F85" si="79">D84/D59</f>
        <v>1.2272267441860464E-3</v>
      </c>
      <c r="E85" s="27">
        <f t="shared" si="79"/>
        <v>4.8091726384364819E-4</v>
      </c>
      <c r="F85" s="27">
        <f t="shared" si="79"/>
        <v>5.0515616946706526E-4</v>
      </c>
      <c r="G85" s="30">
        <v>5.0000000000000001E-4</v>
      </c>
      <c r="H85" s="30">
        <v>5.0000000000000001E-4</v>
      </c>
      <c r="I85" s="30">
        <v>5.0000000000000001E-4</v>
      </c>
      <c r="J85" s="30">
        <v>5.0000000000000001E-4</v>
      </c>
      <c r="K85" s="30">
        <v>5.0000000000000001E-4</v>
      </c>
    </row>
    <row r="86" spans="2:11" x14ac:dyDescent="0.2">
      <c r="B86" t="s">
        <v>53</v>
      </c>
      <c r="C86" s="14">
        <v>19548</v>
      </c>
      <c r="D86" s="14">
        <v>22138</v>
      </c>
      <c r="E86" s="14">
        <v>87891</v>
      </c>
      <c r="F86" s="14">
        <v>104502</v>
      </c>
      <c r="G86" s="32">
        <v>100000</v>
      </c>
      <c r="H86" s="32">
        <v>100000</v>
      </c>
      <c r="I86" s="32">
        <v>100000</v>
      </c>
      <c r="J86" s="32">
        <v>100000</v>
      </c>
      <c r="K86" s="32">
        <v>100000</v>
      </c>
    </row>
    <row r="87" spans="2:11" x14ac:dyDescent="0.2">
      <c r="B87" t="s">
        <v>54</v>
      </c>
      <c r="C87" s="14">
        <v>35746</v>
      </c>
      <c r="D87" s="14">
        <v>72981</v>
      </c>
      <c r="E87" s="14">
        <v>140796</v>
      </c>
      <c r="F87" s="14">
        <v>165136</v>
      </c>
      <c r="G87" s="18">
        <f t="shared" ref="G87:K87" si="80">F87-G144-G118</f>
        <v>185641.12</v>
      </c>
      <c r="H87" s="18">
        <f t="shared" si="80"/>
        <v>199379.55040000001</v>
      </c>
      <c r="I87" s="18">
        <f t="shared" si="80"/>
        <v>208584.29876800001</v>
      </c>
      <c r="J87" s="18">
        <f t="shared" si="80"/>
        <v>214751.48017455998</v>
      </c>
      <c r="K87" s="18">
        <f t="shared" si="80"/>
        <v>218883.49171695521</v>
      </c>
    </row>
    <row r="88" spans="2:11" x14ac:dyDescent="0.2">
      <c r="B88" t="s">
        <v>58</v>
      </c>
      <c r="C88" s="14">
        <v>124328</v>
      </c>
      <c r="D88" s="14">
        <v>128063</v>
      </c>
      <c r="E88" s="14">
        <v>181676</v>
      </c>
      <c r="F88" s="14">
        <v>199663</v>
      </c>
      <c r="G88" s="32">
        <v>185000</v>
      </c>
      <c r="H88" s="32">
        <v>185000</v>
      </c>
      <c r="I88" s="32">
        <v>185000</v>
      </c>
      <c r="J88" s="32">
        <v>185000</v>
      </c>
      <c r="K88" s="32">
        <v>185000</v>
      </c>
    </row>
    <row r="89" spans="2:11" x14ac:dyDescent="0.2">
      <c r="B89" t="s">
        <v>55</v>
      </c>
      <c r="C89" s="14">
        <v>9970</v>
      </c>
      <c r="D89" s="14">
        <v>9841</v>
      </c>
      <c r="E89" s="14">
        <v>8140</v>
      </c>
      <c r="F89" s="14">
        <v>8757</v>
      </c>
      <c r="G89" s="32">
        <v>10000</v>
      </c>
      <c r="H89" s="32">
        <v>10000</v>
      </c>
      <c r="I89" s="32">
        <v>10000</v>
      </c>
      <c r="J89" s="32">
        <v>10000</v>
      </c>
      <c r="K89" s="32">
        <v>10000</v>
      </c>
    </row>
    <row r="90" spans="2:11" x14ac:dyDescent="0.2">
      <c r="B90" t="s">
        <v>59</v>
      </c>
      <c r="C90" s="14">
        <v>20883</v>
      </c>
      <c r="D90" s="14">
        <v>22504</v>
      </c>
      <c r="E90" s="14">
        <v>12264</v>
      </c>
      <c r="F90" s="14">
        <v>14821</v>
      </c>
      <c r="G90" s="32">
        <v>20000</v>
      </c>
      <c r="H90" s="32">
        <v>20000</v>
      </c>
      <c r="I90" s="32">
        <v>20000</v>
      </c>
      <c r="J90" s="32">
        <v>20000</v>
      </c>
      <c r="K90" s="32">
        <v>20000</v>
      </c>
    </row>
    <row r="91" spans="2:11" x14ac:dyDescent="0.2">
      <c r="B91" t="s">
        <v>56</v>
      </c>
      <c r="C91" s="14">
        <v>124113</v>
      </c>
      <c r="D91" s="14">
        <v>79341</v>
      </c>
      <c r="E91" s="14">
        <v>48612</v>
      </c>
      <c r="F91" s="14">
        <v>24195</v>
      </c>
      <c r="G91" s="32">
        <v>84000</v>
      </c>
      <c r="H91" s="32">
        <v>84000</v>
      </c>
      <c r="I91" s="32">
        <v>84000</v>
      </c>
      <c r="J91" s="32">
        <v>84000</v>
      </c>
      <c r="K91" s="32">
        <v>84000</v>
      </c>
    </row>
    <row r="92" spans="2:11" x14ac:dyDescent="0.2">
      <c r="B92" t="s">
        <v>57</v>
      </c>
      <c r="C92" s="14">
        <v>106337</v>
      </c>
      <c r="D92" s="14">
        <v>127782</v>
      </c>
      <c r="E92" s="14">
        <v>143727</v>
      </c>
      <c r="F92" s="14">
        <v>112679</v>
      </c>
      <c r="G92" s="32">
        <v>126000</v>
      </c>
      <c r="H92" s="32">
        <v>126000</v>
      </c>
      <c r="I92" s="32">
        <v>126000</v>
      </c>
      <c r="J92" s="32">
        <v>126000</v>
      </c>
      <c r="K92" s="32">
        <v>126000</v>
      </c>
    </row>
    <row r="93" spans="2:11" x14ac:dyDescent="0.2">
      <c r="B93" s="9" t="s">
        <v>60</v>
      </c>
      <c r="C93" s="19">
        <f>C79+C80+C81+C82+C84+C86+C87+C88+C89+C90+C91+C92</f>
        <v>4158461</v>
      </c>
      <c r="D93" s="19">
        <f t="shared" ref="D93:F93" si="81">D79+D80+D81+D82+D84+D86+D87+D88+D89+D90+D91+D92</f>
        <v>5775606</v>
      </c>
      <c r="E93" s="19">
        <f t="shared" si="81"/>
        <v>7616350</v>
      </c>
      <c r="F93" s="19">
        <f t="shared" si="81"/>
        <v>9568371</v>
      </c>
      <c r="G93" s="19">
        <f t="shared" ref="G93:K93" si="82">SUM(G79:G92)</f>
        <v>11848667.973619998</v>
      </c>
      <c r="H93" s="19">
        <f t="shared" si="82"/>
        <v>14779877.501900157</v>
      </c>
      <c r="I93" s="19">
        <f t="shared" si="82"/>
        <v>18008441.6735451</v>
      </c>
      <c r="J93" s="19">
        <f t="shared" si="82"/>
        <v>21185677.169639755</v>
      </c>
      <c r="K93" s="19">
        <f t="shared" si="82"/>
        <v>25040523.01925391</v>
      </c>
    </row>
    <row r="95" spans="2:11" x14ac:dyDescent="0.2">
      <c r="B95" t="s">
        <v>62</v>
      </c>
      <c r="C95" s="14">
        <v>68400</v>
      </c>
      <c r="D95" s="14">
        <v>81700</v>
      </c>
      <c r="E95" s="14">
        <v>35000</v>
      </c>
      <c r="F95" s="14">
        <v>1400</v>
      </c>
      <c r="G95" s="32">
        <v>62000</v>
      </c>
      <c r="H95" s="32">
        <v>62000</v>
      </c>
      <c r="I95" s="32">
        <v>62000</v>
      </c>
      <c r="J95" s="32">
        <v>62000</v>
      </c>
      <c r="K95" s="32">
        <v>62000</v>
      </c>
    </row>
    <row r="96" spans="2:11" x14ac:dyDescent="0.2">
      <c r="B96" t="s">
        <v>63</v>
      </c>
      <c r="C96" s="14">
        <v>23924</v>
      </c>
      <c r="D96" s="14">
        <v>16401</v>
      </c>
      <c r="E96" s="14">
        <v>11345</v>
      </c>
      <c r="F96" s="14">
        <v>6455</v>
      </c>
      <c r="G96" s="32">
        <v>17500</v>
      </c>
      <c r="H96" s="32">
        <v>17500</v>
      </c>
      <c r="I96" s="32">
        <v>17500</v>
      </c>
      <c r="J96" s="32">
        <v>17500</v>
      </c>
      <c r="K96" s="32">
        <v>17500</v>
      </c>
    </row>
    <row r="97" spans="2:11" x14ac:dyDescent="0.2">
      <c r="B97" t="s">
        <v>64</v>
      </c>
      <c r="C97" s="14">
        <v>118051</v>
      </c>
      <c r="D97" s="14">
        <v>119968</v>
      </c>
      <c r="E97" s="14">
        <v>169873</v>
      </c>
      <c r="F97" s="14">
        <v>172397</v>
      </c>
      <c r="G97" s="18">
        <f t="shared" ref="G97:K97" si="83">F97+G149</f>
        <v>152397</v>
      </c>
      <c r="H97" s="18">
        <f t="shared" si="83"/>
        <v>132397</v>
      </c>
      <c r="I97" s="18">
        <f t="shared" si="83"/>
        <v>112397</v>
      </c>
      <c r="J97" s="18">
        <f t="shared" si="83"/>
        <v>92397</v>
      </c>
      <c r="K97" s="18">
        <f t="shared" si="83"/>
        <v>72397</v>
      </c>
    </row>
    <row r="98" spans="2:11" x14ac:dyDescent="0.2">
      <c r="B98" t="s">
        <v>65</v>
      </c>
      <c r="C98" s="14">
        <v>0</v>
      </c>
      <c r="D98" s="14">
        <v>5601</v>
      </c>
      <c r="E98" s="14">
        <v>6742</v>
      </c>
      <c r="F98" s="14">
        <v>1563</v>
      </c>
      <c r="G98" s="32">
        <v>7500</v>
      </c>
      <c r="H98" s="32">
        <v>8500</v>
      </c>
      <c r="I98" s="32">
        <v>8500</v>
      </c>
      <c r="J98" s="32">
        <v>9500</v>
      </c>
      <c r="K98" s="32">
        <v>9500</v>
      </c>
    </row>
    <row r="99" spans="2:11" x14ac:dyDescent="0.2">
      <c r="B99" t="s">
        <v>66</v>
      </c>
      <c r="C99" s="14">
        <v>2588863</v>
      </c>
      <c r="D99" s="14">
        <v>3608531</v>
      </c>
      <c r="E99" s="14">
        <v>4795804</v>
      </c>
      <c r="F99" s="14">
        <v>5953563</v>
      </c>
      <c r="G99" s="18">
        <f t="shared" ref="G99:K99" si="84">G100*G59</f>
        <v>7333956</v>
      </c>
      <c r="H99" s="18">
        <f t="shared" si="84"/>
        <v>9094105.4399999995</v>
      </c>
      <c r="I99" s="18">
        <f t="shared" si="84"/>
        <v>10912926.528000001</v>
      </c>
      <c r="J99" s="18">
        <f t="shared" si="84"/>
        <v>12448011.526271999</v>
      </c>
      <c r="K99" s="18">
        <f t="shared" si="84"/>
        <v>14315213.255212799</v>
      </c>
    </row>
    <row r="100" spans="2:11" x14ac:dyDescent="0.2">
      <c r="B100" s="25" t="s">
        <v>108</v>
      </c>
      <c r="C100" s="27">
        <f>C99/C59</f>
        <v>8.5272167325428187E-3</v>
      </c>
      <c r="D100" s="27">
        <f t="shared" ref="D100:F100" si="85">D99/D59</f>
        <v>6.9932771317829457E-3</v>
      </c>
      <c r="E100" s="27">
        <f t="shared" si="85"/>
        <v>6.2486045602605867E-3</v>
      </c>
      <c r="F100" s="27">
        <f t="shared" si="85"/>
        <v>6.1370611277187922E-3</v>
      </c>
      <c r="G100" s="30">
        <v>6.0000000000000001E-3</v>
      </c>
      <c r="H100" s="30">
        <v>6.0000000000000001E-3</v>
      </c>
      <c r="I100" s="30">
        <v>6.0000000000000001E-3</v>
      </c>
      <c r="J100" s="30">
        <v>5.7999999999999996E-3</v>
      </c>
      <c r="K100" s="30">
        <v>5.7999999999999996E-3</v>
      </c>
    </row>
    <row r="101" spans="2:11" x14ac:dyDescent="0.2">
      <c r="B101" t="s">
        <v>67</v>
      </c>
      <c r="C101" s="14">
        <v>111547</v>
      </c>
      <c r="D101" s="14">
        <v>100116</v>
      </c>
      <c r="E101" s="14">
        <v>147827</v>
      </c>
      <c r="F101" s="14">
        <v>168397</v>
      </c>
      <c r="G101" s="18">
        <f t="shared" ref="G101:K101" si="86">-G102*G16</f>
        <v>19801.681200000003</v>
      </c>
      <c r="H101" s="18">
        <f t="shared" si="86"/>
        <v>24554.084688000003</v>
      </c>
      <c r="I101" s="18">
        <f t="shared" si="86"/>
        <v>31683.863352960001</v>
      </c>
      <c r="J101" s="18">
        <f t="shared" si="86"/>
        <v>37107.951601593602</v>
      </c>
      <c r="K101" s="18">
        <f t="shared" si="86"/>
        <v>45611.231199367678</v>
      </c>
    </row>
    <row r="102" spans="2:11" x14ac:dyDescent="0.2">
      <c r="B102" s="25" t="s">
        <v>42</v>
      </c>
      <c r="C102" s="27">
        <f>C101/C18</f>
        <v>0.16303273896521486</v>
      </c>
      <c r="D102" s="27">
        <f t="shared" ref="D102:F102" si="87">D101/D18</f>
        <v>9.9964354074868422E-2</v>
      </c>
      <c r="E102" s="27">
        <f t="shared" si="87"/>
        <v>0.1111342494094722</v>
      </c>
      <c r="F102" s="27">
        <f t="shared" si="87"/>
        <v>0.10356130551067888</v>
      </c>
      <c r="G102" s="30">
        <v>0.1</v>
      </c>
      <c r="H102" s="30">
        <v>0.1</v>
      </c>
      <c r="I102" s="30">
        <v>0.1</v>
      </c>
      <c r="J102" s="30">
        <v>0.1</v>
      </c>
      <c r="K102" s="30">
        <v>0.1</v>
      </c>
    </row>
    <row r="103" spans="2:11" x14ac:dyDescent="0.2">
      <c r="B103" t="s">
        <v>68</v>
      </c>
      <c r="C103" s="14">
        <v>13434</v>
      </c>
      <c r="D103" s="14">
        <v>22996</v>
      </c>
      <c r="E103" s="14">
        <v>33200</v>
      </c>
      <c r="F103" s="14">
        <v>50666</v>
      </c>
      <c r="G103" s="32">
        <v>55000</v>
      </c>
      <c r="H103" s="32">
        <v>60000</v>
      </c>
      <c r="I103" s="32">
        <v>65000</v>
      </c>
      <c r="J103" s="32">
        <v>70000</v>
      </c>
      <c r="K103" s="32">
        <v>70000</v>
      </c>
    </row>
    <row r="104" spans="2:11" x14ac:dyDescent="0.2">
      <c r="B104" t="s">
        <v>69</v>
      </c>
      <c r="C104" s="14">
        <v>16108</v>
      </c>
      <c r="D104" s="14">
        <v>9879</v>
      </c>
      <c r="E104" s="14">
        <v>4441</v>
      </c>
      <c r="F104" s="14">
        <v>63063</v>
      </c>
      <c r="G104" s="32">
        <v>60000</v>
      </c>
      <c r="H104" s="32">
        <v>60000</v>
      </c>
      <c r="I104" s="32">
        <v>75000</v>
      </c>
      <c r="J104" s="32">
        <v>80000</v>
      </c>
      <c r="K104" s="32">
        <v>85000</v>
      </c>
    </row>
    <row r="105" spans="2:11" s="9" customFormat="1" x14ac:dyDescent="0.2">
      <c r="B105" s="9" t="s">
        <v>70</v>
      </c>
      <c r="C105" s="19">
        <f>SUM(C95:C104)</f>
        <v>2940327.1715599555</v>
      </c>
      <c r="D105" s="19">
        <f>SUM(D95:D104)</f>
        <v>3965192.1069576312</v>
      </c>
      <c r="E105" s="19">
        <f>SUM(E95:E104)</f>
        <v>5204232.1173828542</v>
      </c>
      <c r="F105" s="19">
        <f t="shared" ref="F105:K105" si="88">SUM(F95:F104)</f>
        <v>6417504.1096983664</v>
      </c>
      <c r="G105" s="19">
        <f t="shared" si="88"/>
        <v>7708154.7872000001</v>
      </c>
      <c r="H105" s="19">
        <f t="shared" si="88"/>
        <v>9459056.6306879986</v>
      </c>
      <c r="I105" s="19">
        <f t="shared" si="88"/>
        <v>11285007.49735296</v>
      </c>
      <c r="J105" s="19">
        <f t="shared" si="88"/>
        <v>12816516.583673591</v>
      </c>
      <c r="K105" s="19">
        <f t="shared" si="88"/>
        <v>14677221.592212165</v>
      </c>
    </row>
    <row r="107" spans="2:11" s="9" customFormat="1" x14ac:dyDescent="0.2">
      <c r="B107" s="9" t="s">
        <v>71</v>
      </c>
      <c r="C107" s="35">
        <v>1218134</v>
      </c>
      <c r="D107" s="35">
        <v>1810414</v>
      </c>
      <c r="E107" s="35">
        <v>2412118</v>
      </c>
      <c r="F107" s="19">
        <f>F93-F105</f>
        <v>3150866.8903016336</v>
      </c>
      <c r="G107" s="19">
        <f t="shared" ref="G107:J107" si="89">G93-G105</f>
        <v>4140513.1864199974</v>
      </c>
      <c r="H107" s="19">
        <f t="shared" si="89"/>
        <v>5320820.8712121584</v>
      </c>
      <c r="I107" s="19">
        <f t="shared" si="89"/>
        <v>6723434.1761921402</v>
      </c>
      <c r="J107" s="19">
        <f t="shared" si="89"/>
        <v>8369160.5859661642</v>
      </c>
      <c r="K107" s="19">
        <f t="shared" ref="K107" si="90">K93-K105</f>
        <v>10363301.427041745</v>
      </c>
    </row>
    <row r="109" spans="2:11" s="9" customFormat="1" x14ac:dyDescent="0.2">
      <c r="B109" s="9" t="s">
        <v>72</v>
      </c>
      <c r="C109" s="19">
        <f>C105+C107</f>
        <v>4158461.1715599555</v>
      </c>
      <c r="D109" s="19">
        <f>D105+D107</f>
        <v>5775606.1069576312</v>
      </c>
      <c r="E109" s="19">
        <f>E107+E105</f>
        <v>7616350.1173828542</v>
      </c>
      <c r="F109" s="19">
        <f t="shared" ref="F109:J109" si="91">F107+F105</f>
        <v>9568371</v>
      </c>
      <c r="G109" s="19">
        <f t="shared" si="91"/>
        <v>11848667.973619998</v>
      </c>
      <c r="H109" s="19">
        <f t="shared" si="91"/>
        <v>14779877.501900157</v>
      </c>
      <c r="I109" s="19">
        <f t="shared" si="91"/>
        <v>18008441.6735451</v>
      </c>
      <c r="J109" s="19">
        <f t="shared" si="91"/>
        <v>21185677.169639755</v>
      </c>
      <c r="K109" s="19">
        <f t="shared" ref="K109" si="92">K107+K105</f>
        <v>25040523.01925391</v>
      </c>
    </row>
    <row r="112" spans="2:11" ht="17" thickBot="1" x14ac:dyDescent="0.25">
      <c r="B112" s="5" t="s">
        <v>73</v>
      </c>
      <c r="C112" s="4"/>
      <c r="D112" s="4"/>
      <c r="E112" s="4"/>
      <c r="F112" s="4"/>
      <c r="G112" s="4"/>
      <c r="H112" s="4"/>
      <c r="I112" s="4"/>
      <c r="J112" s="4"/>
      <c r="K112" s="4"/>
    </row>
    <row r="113" spans="2:12" x14ac:dyDescent="0.2">
      <c r="B113" t="s">
        <v>9</v>
      </c>
      <c r="C113" s="6">
        <f>D113-1</f>
        <v>2020</v>
      </c>
      <c r="D113" s="6">
        <f>E113-1</f>
        <v>2021</v>
      </c>
      <c r="E113" s="6">
        <v>2022</v>
      </c>
      <c r="F113" s="7">
        <f>E113+1</f>
        <v>2023</v>
      </c>
      <c r="G113" s="7">
        <f t="shared" ref="G113:K113" si="93">F113+1</f>
        <v>2024</v>
      </c>
      <c r="H113" s="7">
        <f t="shared" si="93"/>
        <v>2025</v>
      </c>
      <c r="I113" s="7">
        <f t="shared" si="93"/>
        <v>2026</v>
      </c>
      <c r="J113" s="7">
        <f t="shared" si="93"/>
        <v>2027</v>
      </c>
      <c r="K113" s="7">
        <f t="shared" si="93"/>
        <v>2028</v>
      </c>
    </row>
    <row r="114" spans="2:12" ht="17" thickBot="1" x14ac:dyDescent="0.25">
      <c r="B114" s="4" t="s">
        <v>10</v>
      </c>
      <c r="C114" s="13">
        <v>44196</v>
      </c>
      <c r="D114" s="13">
        <v>44561</v>
      </c>
      <c r="E114" s="13">
        <v>44926</v>
      </c>
      <c r="F114" s="8">
        <f>EOMONTH(E114,12)</f>
        <v>45291</v>
      </c>
      <c r="G114" s="8">
        <f t="shared" ref="G114:K114" si="94">EOMONTH(F114,12)</f>
        <v>45657</v>
      </c>
      <c r="H114" s="8">
        <f t="shared" si="94"/>
        <v>46022</v>
      </c>
      <c r="I114" s="8">
        <f t="shared" si="94"/>
        <v>46387</v>
      </c>
      <c r="J114" s="8">
        <f t="shared" si="94"/>
        <v>46752</v>
      </c>
      <c r="K114" s="8">
        <f t="shared" si="94"/>
        <v>47118</v>
      </c>
    </row>
    <row r="116" spans="2:12" x14ac:dyDescent="0.2">
      <c r="B116" t="s">
        <v>24</v>
      </c>
      <c r="C116" s="18">
        <f t="shared" ref="C116:K116" si="95">C40</f>
        <v>323180</v>
      </c>
      <c r="D116" s="18">
        <f t="shared" si="95"/>
        <v>580847</v>
      </c>
      <c r="E116" s="18">
        <f t="shared" si="95"/>
        <v>719939</v>
      </c>
      <c r="F116" s="18">
        <f t="shared" si="95"/>
        <v>942609</v>
      </c>
      <c r="G116" s="18">
        <f t="shared" si="95"/>
        <v>833126.30239999993</v>
      </c>
      <c r="H116" s="18">
        <f t="shared" si="95"/>
        <v>986186.80599019979</v>
      </c>
      <c r="I116" s="18">
        <f t="shared" si="95"/>
        <v>1266220.5712249731</v>
      </c>
      <c r="J116" s="18">
        <f t="shared" si="95"/>
        <v>1528548.2671675275</v>
      </c>
      <c r="K116" s="18">
        <f t="shared" si="95"/>
        <v>1963386.8856244751</v>
      </c>
    </row>
    <row r="117" spans="2:12" x14ac:dyDescent="0.2">
      <c r="B117" t="s">
        <v>23</v>
      </c>
      <c r="C117" s="18">
        <f t="shared" ref="C117:K117" si="96">-C39</f>
        <v>50733</v>
      </c>
      <c r="D117" s="18">
        <f t="shared" si="96"/>
        <v>14134</v>
      </c>
      <c r="E117" s="18">
        <f t="shared" si="96"/>
        <v>-55264</v>
      </c>
      <c r="F117" s="18">
        <f>-F39</f>
        <v>-285027</v>
      </c>
      <c r="G117" s="18">
        <f t="shared" si="96"/>
        <v>0</v>
      </c>
      <c r="H117" s="18">
        <f t="shared" si="96"/>
        <v>0</v>
      </c>
      <c r="I117" s="18">
        <f t="shared" si="96"/>
        <v>0</v>
      </c>
      <c r="J117" s="18">
        <f t="shared" si="96"/>
        <v>0</v>
      </c>
      <c r="K117" s="18">
        <f t="shared" si="96"/>
        <v>0</v>
      </c>
    </row>
    <row r="118" spans="2:12" x14ac:dyDescent="0.2">
      <c r="B118" t="s">
        <v>74</v>
      </c>
      <c r="C118" s="14">
        <v>11230</v>
      </c>
      <c r="D118" s="14">
        <v>15315</v>
      </c>
      <c r="E118" s="14">
        <v>28354</v>
      </c>
      <c r="F118" s="14">
        <v>45955</v>
      </c>
      <c r="G118" s="18">
        <f t="shared" ref="G118:K118" si="97">G119*F87</f>
        <v>54494.880000000005</v>
      </c>
      <c r="H118" s="18">
        <f t="shared" si="97"/>
        <v>61261.569600000003</v>
      </c>
      <c r="I118" s="18">
        <f t="shared" si="97"/>
        <v>65795.251632</v>
      </c>
      <c r="J118" s="18">
        <f t="shared" si="97"/>
        <v>68832.81859344001</v>
      </c>
      <c r="K118" s="18">
        <f t="shared" si="97"/>
        <v>70867.988457604792</v>
      </c>
    </row>
    <row r="119" spans="2:12" x14ac:dyDescent="0.2">
      <c r="B119" s="25" t="s">
        <v>103</v>
      </c>
      <c r="C119" s="14"/>
      <c r="D119" s="27">
        <f>D118/C87</f>
        <v>0.42843954568343312</v>
      </c>
      <c r="E119" s="27">
        <f>E118/D87</f>
        <v>0.38851207848618136</v>
      </c>
      <c r="F119" s="27">
        <f>F118/E87</f>
        <v>0.32639421574476546</v>
      </c>
      <c r="G119" s="30">
        <v>0.33</v>
      </c>
      <c r="H119" s="30">
        <v>0.33</v>
      </c>
      <c r="I119" s="30">
        <v>0.33</v>
      </c>
      <c r="J119" s="30">
        <v>0.33</v>
      </c>
      <c r="K119" s="30">
        <v>0.33</v>
      </c>
      <c r="L119" t="s">
        <v>143</v>
      </c>
    </row>
    <row r="120" spans="2:12" x14ac:dyDescent="0.2">
      <c r="B120" t="s">
        <v>75</v>
      </c>
      <c r="C120" s="14">
        <v>2465</v>
      </c>
      <c r="D120" s="14">
        <v>3088</v>
      </c>
      <c r="E120" s="14">
        <v>5224</v>
      </c>
      <c r="F120" s="14">
        <v>3521</v>
      </c>
      <c r="G120" s="18">
        <f t="shared" ref="G120:K120" si="98">F89*G121</f>
        <v>3940.65</v>
      </c>
      <c r="H120" s="18">
        <f t="shared" si="98"/>
        <v>4500</v>
      </c>
      <c r="I120" s="18">
        <f t="shared" si="98"/>
        <v>4500</v>
      </c>
      <c r="J120" s="18">
        <f t="shared" si="98"/>
        <v>4500</v>
      </c>
      <c r="K120" s="18">
        <f t="shared" si="98"/>
        <v>4500</v>
      </c>
    </row>
    <row r="121" spans="2:12" x14ac:dyDescent="0.2">
      <c r="B121" s="25" t="s">
        <v>104</v>
      </c>
      <c r="C121" s="14"/>
      <c r="D121" s="27">
        <f>D120/C89</f>
        <v>0.30972918756268808</v>
      </c>
      <c r="E121" s="27">
        <f>E120/D89</f>
        <v>0.53084036175185445</v>
      </c>
      <c r="F121" s="27">
        <f>F120/E89</f>
        <v>0.43255528255528253</v>
      </c>
      <c r="G121" s="30">
        <v>0.45</v>
      </c>
      <c r="H121" s="30">
        <v>0.45</v>
      </c>
      <c r="I121" s="30">
        <v>0.45</v>
      </c>
      <c r="J121" s="30">
        <v>0.45</v>
      </c>
      <c r="K121" s="30">
        <v>0.45</v>
      </c>
      <c r="L121" t="s">
        <v>144</v>
      </c>
    </row>
    <row r="122" spans="2:12" x14ac:dyDescent="0.2">
      <c r="B122" t="s">
        <v>76</v>
      </c>
      <c r="C122" s="14">
        <v>14872</v>
      </c>
      <c r="D122" s="14">
        <v>16608</v>
      </c>
      <c r="E122" s="14">
        <v>30035</v>
      </c>
      <c r="F122" s="14">
        <v>35977</v>
      </c>
      <c r="G122" s="18">
        <f t="shared" ref="G122:K122" si="99">G123*F88</f>
        <v>39932.600000000006</v>
      </c>
      <c r="H122" s="18">
        <f t="shared" si="99"/>
        <v>37000</v>
      </c>
      <c r="I122" s="18">
        <f t="shared" si="99"/>
        <v>37000</v>
      </c>
      <c r="J122" s="18">
        <f t="shared" si="99"/>
        <v>37000</v>
      </c>
      <c r="K122" s="18">
        <f t="shared" si="99"/>
        <v>37000</v>
      </c>
    </row>
    <row r="123" spans="2:12" x14ac:dyDescent="0.2">
      <c r="B123" s="25" t="s">
        <v>105</v>
      </c>
      <c r="C123" s="14"/>
      <c r="D123" s="27">
        <f>D122/C88</f>
        <v>0.13358213757158485</v>
      </c>
      <c r="E123" s="27">
        <f>E122/D88</f>
        <v>0.23453300328744447</v>
      </c>
      <c r="F123" s="27">
        <f>F122/E88</f>
        <v>0.19802835817609371</v>
      </c>
      <c r="G123" s="30">
        <v>0.2</v>
      </c>
      <c r="H123" s="30">
        <v>0.2</v>
      </c>
      <c r="I123" s="30">
        <v>0.2</v>
      </c>
      <c r="J123" s="30">
        <v>0.2</v>
      </c>
      <c r="K123" s="30">
        <v>0.2</v>
      </c>
    </row>
    <row r="124" spans="2:12" x14ac:dyDescent="0.2">
      <c r="B124" t="s">
        <v>77</v>
      </c>
      <c r="C124" s="14">
        <v>922</v>
      </c>
      <c r="D124" s="14">
        <v>292</v>
      </c>
      <c r="E124" s="14">
        <v>9</v>
      </c>
      <c r="F124" s="14">
        <v>24650</v>
      </c>
      <c r="G124" s="32">
        <v>15000</v>
      </c>
      <c r="H124" s="32">
        <v>17500</v>
      </c>
      <c r="I124" s="32">
        <v>20000</v>
      </c>
      <c r="J124" s="32">
        <v>20000</v>
      </c>
      <c r="K124" s="32">
        <v>20000</v>
      </c>
      <c r="L124" t="s">
        <v>145</v>
      </c>
    </row>
    <row r="125" spans="2:12" x14ac:dyDescent="0.2">
      <c r="B125" t="s">
        <v>78</v>
      </c>
      <c r="C125" s="14">
        <v>0</v>
      </c>
      <c r="D125" s="14">
        <v>5601</v>
      </c>
      <c r="E125" s="14">
        <v>1141</v>
      </c>
      <c r="F125" s="14">
        <v>3399</v>
      </c>
      <c r="G125" s="32">
        <v>3000</v>
      </c>
      <c r="H125" s="32">
        <v>3000</v>
      </c>
      <c r="I125" s="32">
        <v>3000</v>
      </c>
      <c r="J125" s="32">
        <v>3000</v>
      </c>
      <c r="K125" s="32">
        <v>3000</v>
      </c>
      <c r="L125" t="s">
        <v>146</v>
      </c>
    </row>
    <row r="126" spans="2:12" x14ac:dyDescent="0.2">
      <c r="B126" t="s">
        <v>53</v>
      </c>
      <c r="C126" s="14">
        <v>-12528</v>
      </c>
      <c r="D126" s="14">
        <v>-3851</v>
      </c>
      <c r="E126" s="14">
        <v>-65753</v>
      </c>
      <c r="F126" s="14">
        <v>-22880</v>
      </c>
      <c r="G126" s="18">
        <f t="shared" ref="G126:K126" si="100">G86-F86</f>
        <v>-4502</v>
      </c>
      <c r="H126" s="18">
        <f t="shared" si="100"/>
        <v>0</v>
      </c>
      <c r="I126" s="18">
        <f t="shared" si="100"/>
        <v>0</v>
      </c>
      <c r="J126" s="18">
        <f t="shared" si="100"/>
        <v>0</v>
      </c>
      <c r="K126" s="18">
        <f t="shared" si="100"/>
        <v>0</v>
      </c>
    </row>
    <row r="127" spans="2:12" x14ac:dyDescent="0.2">
      <c r="B127" t="s">
        <v>51</v>
      </c>
      <c r="C127" s="14">
        <v>-15213</v>
      </c>
      <c r="D127" s="14">
        <v>19780</v>
      </c>
      <c r="E127" s="14">
        <v>-32650</v>
      </c>
      <c r="F127" s="14">
        <v>-45096</v>
      </c>
      <c r="G127" s="18">
        <f t="shared" ref="G127:K127" si="101">F82-G82</f>
        <v>40590.300999999992</v>
      </c>
      <c r="H127" s="18">
        <f t="shared" si="101"/>
        <v>-18607.999428181793</v>
      </c>
      <c r="I127" s="18">
        <f t="shared" si="101"/>
        <v>-26782.566174790889</v>
      </c>
      <c r="J127" s="18">
        <f t="shared" si="101"/>
        <v>-21522.782174105174</v>
      </c>
      <c r="K127" s="18">
        <f t="shared" si="101"/>
        <v>-31883.710948201362</v>
      </c>
    </row>
    <row r="128" spans="2:12" x14ac:dyDescent="0.2">
      <c r="B128" t="s">
        <v>52</v>
      </c>
      <c r="C128" s="14">
        <v>-440606</v>
      </c>
      <c r="D128" s="14">
        <v>250690</v>
      </c>
      <c r="E128" s="14">
        <v>264145</v>
      </c>
      <c r="F128" s="14">
        <v>-120948</v>
      </c>
      <c r="G128" s="18">
        <f t="shared" ref="G128:K128" si="102">G84-F84</f>
        <v>121111</v>
      </c>
      <c r="H128" s="18">
        <f t="shared" si="102"/>
        <v>146679.12</v>
      </c>
      <c r="I128" s="18">
        <f t="shared" si="102"/>
        <v>151568.424</v>
      </c>
      <c r="J128" s="18">
        <f t="shared" si="102"/>
        <v>163693.8979199999</v>
      </c>
      <c r="K128" s="18">
        <f t="shared" si="102"/>
        <v>160965.66628800007</v>
      </c>
    </row>
    <row r="129" spans="2:12" x14ac:dyDescent="0.2">
      <c r="B129" t="s">
        <v>66</v>
      </c>
      <c r="C129" s="14">
        <v>1129637</v>
      </c>
      <c r="D129" s="14">
        <v>1019668</v>
      </c>
      <c r="E129" s="14">
        <v>1187273</v>
      </c>
      <c r="F129" s="14">
        <v>1156420</v>
      </c>
      <c r="G129" s="18">
        <f t="shared" ref="G129:K129" si="103">G99-F99</f>
        <v>1380393</v>
      </c>
      <c r="H129" s="18">
        <f t="shared" si="103"/>
        <v>1760149.4399999995</v>
      </c>
      <c r="I129" s="18">
        <f t="shared" si="103"/>
        <v>1818821.0880000014</v>
      </c>
      <c r="J129" s="18">
        <f t="shared" si="103"/>
        <v>1535084.998271998</v>
      </c>
      <c r="K129" s="18">
        <f t="shared" si="103"/>
        <v>1867201.7289407998</v>
      </c>
    </row>
    <row r="130" spans="2:12" s="9" customFormat="1" x14ac:dyDescent="0.2">
      <c r="B130" t="s">
        <v>67</v>
      </c>
      <c r="C130" s="14">
        <v>21351</v>
      </c>
      <c r="D130" s="14">
        <v>-11048</v>
      </c>
      <c r="E130" s="14">
        <v>40155</v>
      </c>
      <c r="F130" s="14">
        <v>19562</v>
      </c>
      <c r="G130" s="18">
        <f t="shared" ref="G130:K130" si="104">G101-F101</f>
        <v>-148595.31880000001</v>
      </c>
      <c r="H130" s="18">
        <f t="shared" si="104"/>
        <v>4752.4034879999999</v>
      </c>
      <c r="I130" s="18">
        <f t="shared" si="104"/>
        <v>7129.7786649599984</v>
      </c>
      <c r="J130" s="18">
        <f t="shared" si="104"/>
        <v>5424.0882486336013</v>
      </c>
      <c r="K130" s="18">
        <f t="shared" si="104"/>
        <v>8503.2795977740752</v>
      </c>
    </row>
    <row r="131" spans="2:12" x14ac:dyDescent="0.2">
      <c r="B131" t="s">
        <v>79</v>
      </c>
      <c r="C131" s="14">
        <v>10641</v>
      </c>
      <c r="D131" s="14">
        <v>48198</v>
      </c>
      <c r="E131" s="14">
        <v>30763</v>
      </c>
      <c r="F131" s="14">
        <v>24349</v>
      </c>
      <c r="G131" s="32">
        <v>30000</v>
      </c>
      <c r="H131" s="32">
        <v>30000</v>
      </c>
      <c r="I131" s="32">
        <v>30000</v>
      </c>
      <c r="J131" s="32">
        <v>30000</v>
      </c>
      <c r="K131" s="32">
        <v>30000</v>
      </c>
      <c r="L131" t="s">
        <v>147</v>
      </c>
    </row>
    <row r="132" spans="2:12" x14ac:dyDescent="0.2">
      <c r="B132" t="s">
        <v>141</v>
      </c>
      <c r="C132" s="14">
        <v>0</v>
      </c>
      <c r="D132" s="14">
        <v>0</v>
      </c>
      <c r="E132" s="14">
        <v>0</v>
      </c>
      <c r="F132" s="14">
        <v>1097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2" x14ac:dyDescent="0.2">
      <c r="B133" s="9" t="s">
        <v>83</v>
      </c>
      <c r="C133" s="19">
        <f>C116+C117+C118+C120+C122+C124+C125+C127+C126+C128+C129+C130+C131+C132</f>
        <v>1096684</v>
      </c>
      <c r="D133" s="19">
        <f t="shared" ref="D133:F133" si="105">D116+D117+D118+D120+D122+D124+D125+D127+D126+D128+D129+D130+D131+D132</f>
        <v>1959322</v>
      </c>
      <c r="E133" s="19">
        <f t="shared" si="105"/>
        <v>2153371</v>
      </c>
      <c r="F133" s="19">
        <f t="shared" si="105"/>
        <v>1783588</v>
      </c>
      <c r="G133" s="19">
        <f t="shared" ref="G133" si="106">G116+G117+G118+G120+G122+G124+G125+G127+G126+G128+G129+G130+G131+G132</f>
        <v>2368491.4145999998</v>
      </c>
      <c r="H133" s="19">
        <f t="shared" ref="H133" si="107">H116+H117+H118+H120+H122+H124+H125+H127+H126+H128+H129+H130+H131+H132</f>
        <v>3032421.3396500177</v>
      </c>
      <c r="I133" s="19">
        <f t="shared" ref="I133" si="108">I116+I117+I118+I120+I122+I124+I125+I127+I126+I128+I129+I130+I131+I132</f>
        <v>3377252.5473471438</v>
      </c>
      <c r="J133" s="19">
        <f t="shared" ref="J133" si="109">J116+J117+J118+J120+J122+J124+J125+J127+J126+J128+J129+J130+J131+J132</f>
        <v>3374561.2880274942</v>
      </c>
      <c r="K133" s="19">
        <f t="shared" ref="K133" si="110">K116+K117+K118+K120+K122+K124+K125+K127+K126+K128+K129+K130+K131+K132</f>
        <v>4133541.8379604528</v>
      </c>
    </row>
    <row r="135" spans="2:12" x14ac:dyDescent="0.2">
      <c r="B135" t="s">
        <v>80</v>
      </c>
      <c r="C135" s="18">
        <f t="shared" ref="C135:J136" si="111">C36</f>
        <v>1334</v>
      </c>
      <c r="D135" s="18">
        <f t="shared" si="111"/>
        <v>1039</v>
      </c>
      <c r="E135" s="18">
        <f t="shared" si="111"/>
        <v>29323</v>
      </c>
      <c r="F135" s="18">
        <f t="shared" si="111"/>
        <v>246401</v>
      </c>
      <c r="G135" s="18">
        <f t="shared" si="111"/>
        <v>0</v>
      </c>
      <c r="H135" s="18">
        <f t="shared" si="111"/>
        <v>0</v>
      </c>
      <c r="I135" s="18">
        <f t="shared" si="111"/>
        <v>0</v>
      </c>
      <c r="J135" s="18">
        <f t="shared" si="111"/>
        <v>0</v>
      </c>
      <c r="K135" s="18">
        <f t="shared" ref="K135" si="112">K36</f>
        <v>0</v>
      </c>
    </row>
    <row r="136" spans="2:12" x14ac:dyDescent="0.2">
      <c r="B136" t="s">
        <v>81</v>
      </c>
      <c r="C136" s="18">
        <f t="shared" si="111"/>
        <v>-9406</v>
      </c>
      <c r="D136" s="18">
        <f t="shared" si="111"/>
        <v>-12788</v>
      </c>
      <c r="E136" s="18">
        <f t="shared" si="111"/>
        <v>-11963</v>
      </c>
      <c r="F136" s="18">
        <f t="shared" si="111"/>
        <v>-4783</v>
      </c>
      <c r="G136" s="18">
        <f t="shared" si="111"/>
        <v>0</v>
      </c>
      <c r="H136" s="18">
        <f t="shared" si="111"/>
        <v>0</v>
      </c>
      <c r="I136" s="18">
        <f t="shared" si="111"/>
        <v>0</v>
      </c>
      <c r="J136" s="18">
        <f t="shared" si="111"/>
        <v>0</v>
      </c>
      <c r="K136" s="18">
        <f t="shared" ref="K136" si="113">K37</f>
        <v>0</v>
      </c>
    </row>
    <row r="137" spans="2:12" x14ac:dyDescent="0.2">
      <c r="B137" t="s">
        <v>82</v>
      </c>
      <c r="C137" s="14">
        <v>-71965</v>
      </c>
      <c r="D137" s="14">
        <v>-127427</v>
      </c>
      <c r="E137" s="14">
        <v>-149573</v>
      </c>
      <c r="F137" s="14">
        <v>-155166</v>
      </c>
      <c r="G137" s="18">
        <f>-G40*G138</f>
        <v>-166625.26048</v>
      </c>
      <c r="H137" s="18">
        <f>-H40*H138</f>
        <v>-197237.36119803996</v>
      </c>
      <c r="I137" s="18">
        <f>-I40*I138</f>
        <v>-253244.11424499462</v>
      </c>
      <c r="J137" s="18">
        <f>-J40*J138</f>
        <v>-305709.6534335055</v>
      </c>
      <c r="K137" s="18">
        <f>-K40*K138</f>
        <v>-392677.37712489505</v>
      </c>
    </row>
    <row r="138" spans="2:12" x14ac:dyDescent="0.2">
      <c r="B138" s="25" t="s">
        <v>106</v>
      </c>
      <c r="C138" s="27">
        <f>-C137/C40</f>
        <v>0.22267776471316295</v>
      </c>
      <c r="D138" s="27">
        <f>-D137/D40</f>
        <v>0.21938135171568415</v>
      </c>
      <c r="E138" s="27">
        <f>-E137/E40</f>
        <v>0.2077578794870121</v>
      </c>
      <c r="F138" s="27">
        <f>-F137/F40</f>
        <v>0.16461332323370559</v>
      </c>
      <c r="G138" s="30">
        <v>0.2</v>
      </c>
      <c r="H138" s="30">
        <v>0.2</v>
      </c>
      <c r="I138" s="30">
        <v>0.2</v>
      </c>
      <c r="J138" s="30">
        <v>0.2</v>
      </c>
      <c r="K138" s="30">
        <v>0.2</v>
      </c>
      <c r="L138" t="s">
        <v>148</v>
      </c>
    </row>
    <row r="139" spans="2:12" s="9" customFormat="1" x14ac:dyDescent="0.2">
      <c r="B139" s="9" t="s">
        <v>84</v>
      </c>
      <c r="C139" s="19">
        <f>C133+C135+C136+C137</f>
        <v>1016647</v>
      </c>
      <c r="D139" s="19">
        <f t="shared" ref="D139:J139" si="114">D133+D135+D136+D137</f>
        <v>1820146</v>
      </c>
      <c r="E139" s="19">
        <f t="shared" si="114"/>
        <v>2021158</v>
      </c>
      <c r="F139" s="19">
        <f>F133+F135+F136+F137</f>
        <v>1870040</v>
      </c>
      <c r="G139" s="19">
        <f t="shared" si="114"/>
        <v>2201866.1541199996</v>
      </c>
      <c r="H139" s="19">
        <f t="shared" si="114"/>
        <v>2835183.9784519775</v>
      </c>
      <c r="I139" s="19">
        <f t="shared" si="114"/>
        <v>3124008.4331021491</v>
      </c>
      <c r="J139" s="19">
        <f t="shared" si="114"/>
        <v>3068851.6345939888</v>
      </c>
      <c r="K139" s="19">
        <f t="shared" ref="K139" si="115">K133+K135+K136+K137</f>
        <v>3740864.4608355579</v>
      </c>
    </row>
    <row r="141" spans="2:12" x14ac:dyDescent="0.2">
      <c r="B141" t="s">
        <v>85</v>
      </c>
      <c r="C141" s="14">
        <v>0</v>
      </c>
      <c r="D141" s="14">
        <v>-211</v>
      </c>
      <c r="E141" s="14">
        <v>0</v>
      </c>
      <c r="F141" s="1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2" x14ac:dyDescent="0.2">
      <c r="B142" t="s">
        <v>86</v>
      </c>
      <c r="C142" s="14">
        <v>13088</v>
      </c>
      <c r="D142" s="14">
        <v>12427</v>
      </c>
      <c r="E142" s="14">
        <v>0</v>
      </c>
      <c r="F142" s="1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</row>
    <row r="143" spans="2:12" x14ac:dyDescent="0.2">
      <c r="B143" t="s">
        <v>87</v>
      </c>
      <c r="C143" s="14">
        <v>-13355</v>
      </c>
      <c r="D143" s="14">
        <v>0</v>
      </c>
      <c r="E143" s="14">
        <v>11407</v>
      </c>
      <c r="F143" s="1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</row>
    <row r="144" spans="2:12" x14ac:dyDescent="0.2">
      <c r="B144" t="s">
        <v>88</v>
      </c>
      <c r="C144" s="14">
        <v>-17097</v>
      </c>
      <c r="D144" s="14">
        <v>-51387</v>
      </c>
      <c r="E144" s="14">
        <v>-95575</v>
      </c>
      <c r="F144" s="14">
        <v>-65605</v>
      </c>
      <c r="G144" s="32">
        <v>-75000</v>
      </c>
      <c r="H144" s="32">
        <v>-75000</v>
      </c>
      <c r="I144" s="32">
        <v>-75000</v>
      </c>
      <c r="J144" s="32">
        <v>-75000</v>
      </c>
      <c r="K144" s="32">
        <v>-75000</v>
      </c>
    </row>
    <row r="145" spans="2:11" x14ac:dyDescent="0.2">
      <c r="B145" t="s">
        <v>89</v>
      </c>
      <c r="C145" s="14">
        <v>-4795</v>
      </c>
      <c r="D145" s="14">
        <v>-2959</v>
      </c>
      <c r="E145" s="14">
        <v>-3523</v>
      </c>
      <c r="F145" s="14">
        <v>-4138</v>
      </c>
      <c r="G145" s="32">
        <v>-3000</v>
      </c>
      <c r="H145" s="32">
        <v>-3000</v>
      </c>
      <c r="I145" s="32">
        <v>-3000</v>
      </c>
      <c r="J145" s="32">
        <v>-3000</v>
      </c>
      <c r="K145" s="32">
        <v>-3000</v>
      </c>
    </row>
    <row r="146" spans="2:11" x14ac:dyDescent="0.2">
      <c r="B146" s="9" t="s">
        <v>90</v>
      </c>
      <c r="C146" s="19">
        <f>SUM(C141:C145)</f>
        <v>-22159</v>
      </c>
      <c r="D146" s="19">
        <f t="shared" ref="D146:J146" si="116">SUM(D141:D145)</f>
        <v>-42130</v>
      </c>
      <c r="E146" s="19">
        <f t="shared" si="116"/>
        <v>-87691</v>
      </c>
      <c r="F146" s="19">
        <f t="shared" si="116"/>
        <v>-69743</v>
      </c>
      <c r="G146" s="19">
        <f t="shared" si="116"/>
        <v>-78000</v>
      </c>
      <c r="H146" s="19">
        <f t="shared" si="116"/>
        <v>-78000</v>
      </c>
      <c r="I146" s="19">
        <f t="shared" si="116"/>
        <v>-78000</v>
      </c>
      <c r="J146" s="19">
        <f t="shared" si="116"/>
        <v>-78000</v>
      </c>
      <c r="K146" s="19">
        <f t="shared" ref="K146" si="117">SUM(K141:K145)</f>
        <v>-78000</v>
      </c>
    </row>
    <row r="147" spans="2:11" x14ac:dyDescent="0.2">
      <c r="C147" s="19"/>
      <c r="D147" s="19"/>
      <c r="E147" s="19"/>
    </row>
    <row r="148" spans="2:11" x14ac:dyDescent="0.2">
      <c r="B148" t="s">
        <v>91</v>
      </c>
      <c r="C148" s="14">
        <v>12832</v>
      </c>
      <c r="D148" s="14">
        <v>105285</v>
      </c>
      <c r="E148" s="14">
        <v>9926</v>
      </c>
      <c r="F148" s="14">
        <v>13201</v>
      </c>
      <c r="G148" s="32">
        <v>15000</v>
      </c>
      <c r="H148" s="32">
        <v>15000</v>
      </c>
      <c r="I148" s="32">
        <v>15000</v>
      </c>
      <c r="J148" s="32">
        <v>15000</v>
      </c>
      <c r="K148" s="32">
        <v>15000</v>
      </c>
    </row>
    <row r="149" spans="2:11" x14ac:dyDescent="0.2">
      <c r="B149" t="s">
        <v>92</v>
      </c>
      <c r="C149" s="14">
        <v>-9439</v>
      </c>
      <c r="D149" s="14">
        <v>-9045</v>
      </c>
      <c r="E149" s="14">
        <v>-22144</v>
      </c>
      <c r="F149" s="14">
        <v>-33811</v>
      </c>
      <c r="G149" s="32">
        <v>-20000</v>
      </c>
      <c r="H149" s="32">
        <v>-20000</v>
      </c>
      <c r="I149" s="32">
        <v>-20000</v>
      </c>
      <c r="J149" s="32">
        <v>-20000</v>
      </c>
      <c r="K149" s="32">
        <v>-20000</v>
      </c>
    </row>
    <row r="150" spans="2:11" s="9" customFormat="1" x14ac:dyDescent="0.2">
      <c r="B150" s="9" t="s">
        <v>93</v>
      </c>
      <c r="C150" s="19">
        <f>C148+C149</f>
        <v>3393</v>
      </c>
      <c r="D150" s="19">
        <f>D148+D149</f>
        <v>96240</v>
      </c>
      <c r="E150" s="19">
        <f>E148+E149</f>
        <v>-12218</v>
      </c>
      <c r="F150" s="19">
        <f t="shared" ref="F150:K150" si="118">F148+F149</f>
        <v>-20610</v>
      </c>
      <c r="G150" s="19">
        <f t="shared" si="118"/>
        <v>-5000</v>
      </c>
      <c r="H150" s="19">
        <f t="shared" si="118"/>
        <v>-5000</v>
      </c>
      <c r="I150" s="19">
        <f t="shared" si="118"/>
        <v>-5000</v>
      </c>
      <c r="J150" s="19">
        <f t="shared" si="118"/>
        <v>-5000</v>
      </c>
      <c r="K150" s="19">
        <f t="shared" si="118"/>
        <v>-5000</v>
      </c>
    </row>
    <row r="152" spans="2:11" x14ac:dyDescent="0.2">
      <c r="B152" t="s">
        <v>94</v>
      </c>
      <c r="C152" s="14">
        <v>-5783</v>
      </c>
      <c r="D152" s="14">
        <v>4352</v>
      </c>
      <c r="E152" s="14">
        <v>-14998</v>
      </c>
      <c r="F152" s="14">
        <v>4950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</row>
    <row r="154" spans="2:11" s="9" customFormat="1" x14ac:dyDescent="0.2">
      <c r="B154" s="9" t="s">
        <v>95</v>
      </c>
      <c r="C154" s="19">
        <f>C139+C146+C150+C152</f>
        <v>992098</v>
      </c>
      <c r="D154" s="19">
        <f>D139+D146+D150+D152</f>
        <v>1878608</v>
      </c>
      <c r="E154" s="19">
        <f>E139+E146+E150+E152</f>
        <v>1906251</v>
      </c>
      <c r="F154" s="19">
        <f>F139+F146+F150+F152</f>
        <v>1784637</v>
      </c>
      <c r="G154" s="19">
        <f t="shared" ref="G154:J154" si="119">G139+G146+G150+G152</f>
        <v>2118866.1541199996</v>
      </c>
      <c r="H154" s="19">
        <f t="shared" si="119"/>
        <v>2752183.9784519775</v>
      </c>
      <c r="I154" s="19">
        <f t="shared" si="119"/>
        <v>3041008.4331021491</v>
      </c>
      <c r="J154" s="19">
        <f t="shared" si="119"/>
        <v>2985851.6345939888</v>
      </c>
      <c r="K154" s="19">
        <f>K139+K146+K150+K152</f>
        <v>3657864.4608355579</v>
      </c>
    </row>
    <row r="156" spans="2:11" x14ac:dyDescent="0.2">
      <c r="B156" t="s">
        <v>96</v>
      </c>
      <c r="C156" s="16">
        <f>-C28+C33+C144+C149</f>
        <v>375944</v>
      </c>
      <c r="D156" s="16">
        <f t="shared" ref="D156:K156" si="120">-D28+D33+D144+D149</f>
        <v>569560</v>
      </c>
      <c r="E156" s="16">
        <f t="shared" si="120"/>
        <v>610569</v>
      </c>
      <c r="F156" s="16">
        <f t="shared" si="120"/>
        <v>643619</v>
      </c>
      <c r="G156" s="16">
        <f t="shared" si="120"/>
        <v>841178.3713</v>
      </c>
      <c r="H156" s="16">
        <f t="shared" si="120"/>
        <v>1014707.6742611998</v>
      </c>
      <c r="I156" s="16">
        <f t="shared" si="120"/>
        <v>1324202.262288243</v>
      </c>
      <c r="J156" s="16">
        <f t="shared" si="120"/>
        <v>1610205.0186223132</v>
      </c>
      <c r="K156" s="16">
        <f t="shared" si="120"/>
        <v>2080115.7191222822</v>
      </c>
    </row>
    <row r="157" spans="2:11" x14ac:dyDescent="0.2">
      <c r="B157" t="s">
        <v>97</v>
      </c>
      <c r="C157" s="22">
        <f>C156/C18</f>
        <v>0.54946506869336453</v>
      </c>
      <c r="D157" s="22">
        <f t="shared" ref="D157:K157" si="121">D156/D18</f>
        <v>0.56869728621680915</v>
      </c>
      <c r="E157" s="22">
        <f t="shared" si="121"/>
        <v>0.4590171452284903</v>
      </c>
      <c r="F157" s="22">
        <f t="shared" si="121"/>
        <v>0.39581479415593879</v>
      </c>
      <c r="G157" s="22">
        <f t="shared" si="121"/>
        <v>0.40813269460716278</v>
      </c>
      <c r="H157" s="22">
        <f t="shared" si="121"/>
        <v>0.41074341868896619</v>
      </c>
      <c r="I157" s="22">
        <f t="shared" si="121"/>
        <v>0.43279762861968279</v>
      </c>
      <c r="J157" s="22">
        <f t="shared" si="121"/>
        <v>0.45574397959945406</v>
      </c>
      <c r="K157" s="22">
        <f t="shared" si="121"/>
        <v>0.49122164533717738</v>
      </c>
    </row>
    <row r="158" spans="2:11" x14ac:dyDescent="0.2">
      <c r="B158" t="s">
        <v>98</v>
      </c>
      <c r="C158" s="16">
        <f>C156+C41+C39+C124+C125</f>
        <v>263972</v>
      </c>
      <c r="D158" s="16">
        <f t="shared" ref="D158:K158" si="122">D156+D41+D39+D124+D125</f>
        <v>450189</v>
      </c>
      <c r="E158" s="16">
        <f t="shared" si="122"/>
        <v>511183</v>
      </c>
      <c r="F158" s="16">
        <f t="shared" si="122"/>
        <v>712408</v>
      </c>
      <c r="G158" s="16">
        <f t="shared" si="122"/>
        <v>692553.11082000006</v>
      </c>
      <c r="H158" s="16">
        <f t="shared" si="122"/>
        <v>837970.31306315982</v>
      </c>
      <c r="I158" s="16">
        <f t="shared" si="122"/>
        <v>1093958.1480432483</v>
      </c>
      <c r="J158" s="16">
        <f t="shared" si="122"/>
        <v>1327495.3651888077</v>
      </c>
      <c r="K158" s="16">
        <f t="shared" si="122"/>
        <v>1710438.3419973871</v>
      </c>
    </row>
    <row r="159" spans="2:11" x14ac:dyDescent="0.2">
      <c r="B159" t="s">
        <v>99</v>
      </c>
      <c r="C159" s="22">
        <f>C158/C18</f>
        <v>0.38581116632563578</v>
      </c>
      <c r="D159" s="22">
        <f t="shared" ref="D159:K159" si="123">D158/D18</f>
        <v>0.44950709773273945</v>
      </c>
      <c r="E159" s="22">
        <f t="shared" si="123"/>
        <v>0.38430015501824583</v>
      </c>
      <c r="F159" s="22">
        <f t="shared" si="123"/>
        <v>0.43811886515942516</v>
      </c>
      <c r="G159" s="22">
        <f>G158/G18</f>
        <v>0.33602096406819448</v>
      </c>
      <c r="H159" s="22">
        <f t="shared" si="123"/>
        <v>0.33920191980220116</v>
      </c>
      <c r="I159" s="22">
        <f t="shared" si="123"/>
        <v>0.35754544888342576</v>
      </c>
      <c r="J159" s="22">
        <f t="shared" si="123"/>
        <v>0.37572732269125109</v>
      </c>
      <c r="K159" s="22">
        <f t="shared" si="123"/>
        <v>0.40392192072769861</v>
      </c>
    </row>
  </sheetData>
  <pageMargins left="0.7" right="0.7" top="0.75" bottom="0.75" header="0.3" footer="0.3"/>
  <ignoredErrors>
    <ignoredError sqref="D83:F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B0A2-8B85-B745-B6C9-59384A2F37D9}">
  <dimension ref="B2:H28"/>
  <sheetViews>
    <sheetView topLeftCell="B2" zoomScale="170" zoomScaleNormal="170" workbookViewId="0">
      <selection activeCell="H23" sqref="H23"/>
    </sheetView>
  </sheetViews>
  <sheetFormatPr baseColWidth="10" defaultRowHeight="16" x14ac:dyDescent="0.2"/>
  <cols>
    <col min="1" max="1" width="5.5" customWidth="1"/>
    <col min="2" max="2" width="23.33203125" customWidth="1"/>
    <col min="3" max="3" width="11.5" bestFit="1" customWidth="1"/>
    <col min="4" max="4" width="14" bestFit="1" customWidth="1"/>
    <col min="6" max="6" width="27.33203125" bestFit="1" customWidth="1"/>
    <col min="8" max="8" width="11.5" bestFit="1" customWidth="1"/>
  </cols>
  <sheetData>
    <row r="2" spans="2:8" ht="17" thickBot="1" x14ac:dyDescent="0.25">
      <c r="B2" s="36" t="s">
        <v>109</v>
      </c>
      <c r="C2" s="2">
        <f>Model!F12</f>
        <v>2023</v>
      </c>
      <c r="D2" s="2">
        <f>Model!G12</f>
        <v>2024</v>
      </c>
      <c r="E2" s="2">
        <f>Model!H12</f>
        <v>2025</v>
      </c>
      <c r="F2" s="2">
        <f>Model!I12</f>
        <v>2026</v>
      </c>
      <c r="G2" s="2">
        <f>Model!J12</f>
        <v>2027</v>
      </c>
      <c r="H2" s="2">
        <f>Model!K12</f>
        <v>2028</v>
      </c>
    </row>
    <row r="4" spans="2:8" x14ac:dyDescent="0.2">
      <c r="B4" s="9" t="s">
        <v>98</v>
      </c>
      <c r="C4" s="16">
        <f>Model!F158</f>
        <v>712408</v>
      </c>
      <c r="D4" s="16">
        <f>Model!G158</f>
        <v>692553.11082000006</v>
      </c>
      <c r="E4" s="16">
        <f>Model!H158</f>
        <v>837970.31306315982</v>
      </c>
      <c r="F4" s="16">
        <f>Model!I158</f>
        <v>1093958.1480432483</v>
      </c>
      <c r="G4" s="16">
        <f>Model!J158</f>
        <v>1327495.3651888077</v>
      </c>
      <c r="H4" s="16">
        <f>Model!K158</f>
        <v>1710438.3419973871</v>
      </c>
    </row>
    <row r="5" spans="2:8" x14ac:dyDescent="0.2">
      <c r="B5" s="9" t="s">
        <v>110</v>
      </c>
      <c r="C5" s="22"/>
      <c r="D5" s="41">
        <v>0.08</v>
      </c>
      <c r="E5" s="41">
        <v>0.08</v>
      </c>
      <c r="F5" s="41">
        <v>0.08</v>
      </c>
      <c r="G5" s="41">
        <v>0.08</v>
      </c>
      <c r="H5" s="41">
        <v>0.08</v>
      </c>
    </row>
    <row r="6" spans="2:8" x14ac:dyDescent="0.2">
      <c r="B6" s="9" t="s">
        <v>111</v>
      </c>
      <c r="C6" s="16">
        <f t="shared" ref="C6:H6" si="0">C4*(1/(1+C5)^(C2-$C$2))</f>
        <v>712408</v>
      </c>
      <c r="D6" s="16">
        <f t="shared" si="0"/>
        <v>641252.88038888888</v>
      </c>
      <c r="E6" s="16">
        <f t="shared" si="0"/>
        <v>718424.47964948544</v>
      </c>
      <c r="F6" s="16">
        <f t="shared" si="0"/>
        <v>868419.24824344623</v>
      </c>
      <c r="G6" s="16">
        <f t="shared" si="0"/>
        <v>975748.72286270338</v>
      </c>
      <c r="H6" s="16">
        <f t="shared" si="0"/>
        <v>1164095.5951256936</v>
      </c>
    </row>
    <row r="7" spans="2:8" x14ac:dyDescent="0.2">
      <c r="B7" s="9"/>
    </row>
    <row r="8" spans="2:8" x14ac:dyDescent="0.2">
      <c r="B8" s="9" t="s">
        <v>112</v>
      </c>
      <c r="C8" s="16">
        <f>SUM(C6:G6)</f>
        <v>3916253.3311445243</v>
      </c>
    </row>
    <row r="10" spans="2:8" x14ac:dyDescent="0.2">
      <c r="B10" s="37" t="s">
        <v>113</v>
      </c>
      <c r="C10" s="38"/>
      <c r="D10" s="38"/>
      <c r="F10" s="37" t="s">
        <v>119</v>
      </c>
      <c r="G10" s="38"/>
      <c r="H10" s="38"/>
    </row>
    <row r="11" spans="2:8" x14ac:dyDescent="0.2">
      <c r="B11" t="s">
        <v>114</v>
      </c>
      <c r="D11" s="41">
        <v>0.03</v>
      </c>
    </row>
    <row r="12" spans="2:8" x14ac:dyDescent="0.2">
      <c r="B12" t="s">
        <v>132</v>
      </c>
      <c r="D12" s="41">
        <v>8.5000000000000006E-2</v>
      </c>
      <c r="F12" t="s">
        <v>120</v>
      </c>
      <c r="H12" s="16">
        <f>Model!K45/1000</f>
        <v>31040.991165946652</v>
      </c>
    </row>
    <row r="13" spans="2:8" x14ac:dyDescent="0.2">
      <c r="B13" t="str">
        <f>_xlfn.CONCAT(H2+1," FCF")</f>
        <v>2029 FCF</v>
      </c>
      <c r="D13" s="16">
        <f>H4*(1+D11)</f>
        <v>1761751.4922573087</v>
      </c>
      <c r="F13" t="s">
        <v>121</v>
      </c>
      <c r="H13" s="16">
        <f>Model!K47/1000</f>
        <v>144.86799999999999</v>
      </c>
    </row>
    <row r="14" spans="2:8" x14ac:dyDescent="0.2">
      <c r="B14" t="str">
        <f>_xlfn.CONCAT("Terminal Value ", H2+1)</f>
        <v>Terminal Value 2029</v>
      </c>
      <c r="D14" s="16">
        <f>(D13*(1+D11))/(D12-D11)</f>
        <v>32992800.67318232</v>
      </c>
      <c r="F14" t="s">
        <v>122</v>
      </c>
      <c r="H14" s="16">
        <f>Model!K49/1000</f>
        <v>31185.859165946651</v>
      </c>
    </row>
    <row r="15" spans="2:8" x14ac:dyDescent="0.2">
      <c r="B15" t="s">
        <v>115</v>
      </c>
      <c r="D15" s="16">
        <f>D14/(1+H5)^(H2-C2)</f>
        <v>22454345.761251781</v>
      </c>
    </row>
    <row r="17" spans="2:8" x14ac:dyDescent="0.2">
      <c r="B17" t="s">
        <v>116</v>
      </c>
      <c r="D17" s="16">
        <f>D15+C8</f>
        <v>26370599.092396304</v>
      </c>
    </row>
    <row r="19" spans="2:8" x14ac:dyDescent="0.2">
      <c r="B19" s="37" t="s">
        <v>117</v>
      </c>
      <c r="C19" s="38"/>
      <c r="D19" s="38"/>
      <c r="F19" s="37" t="s">
        <v>123</v>
      </c>
      <c r="G19" s="38"/>
      <c r="H19" s="38"/>
    </row>
    <row r="21" spans="2:8" x14ac:dyDescent="0.2">
      <c r="B21" t="s">
        <v>117</v>
      </c>
      <c r="D21" s="18">
        <v>0</v>
      </c>
      <c r="F21" t="s">
        <v>124</v>
      </c>
      <c r="H21" s="39">
        <f>(D17-D25)/H14</f>
        <v>1344.6986326025863</v>
      </c>
    </row>
    <row r="22" spans="2:8" x14ac:dyDescent="0.2">
      <c r="B22" t="s">
        <v>130</v>
      </c>
      <c r="D22" s="18">
        <f>Model!K79+Model!K80+Model!K81</f>
        <v>22870066.661103673</v>
      </c>
      <c r="F22" t="s">
        <v>125</v>
      </c>
      <c r="H22">
        <v>0.01</v>
      </c>
    </row>
    <row r="23" spans="2:8" x14ac:dyDescent="0.2">
      <c r="F23" t="s">
        <v>149</v>
      </c>
      <c r="H23" s="49">
        <f>H21*H22</f>
        <v>13.446986326025863</v>
      </c>
    </row>
    <row r="24" spans="2:8" x14ac:dyDescent="0.2">
      <c r="B24" t="s">
        <v>118</v>
      </c>
      <c r="D24" s="18">
        <f>D21-D22</f>
        <v>-22870066.661103673</v>
      </c>
      <c r="F24" t="s">
        <v>126</v>
      </c>
      <c r="H24" s="33">
        <v>1.08</v>
      </c>
    </row>
    <row r="25" spans="2:8" x14ac:dyDescent="0.2">
      <c r="B25" t="s">
        <v>131</v>
      </c>
      <c r="D25" s="18">
        <f>D24/(1+H5)^(H2-C2)</f>
        <v>-15564983.084588988</v>
      </c>
      <c r="F25" t="s">
        <v>142</v>
      </c>
      <c r="H25" s="40">
        <f>H23*H24</f>
        <v>14.522745232107933</v>
      </c>
    </row>
    <row r="27" spans="2:8" x14ac:dyDescent="0.2">
      <c r="F27" t="s">
        <v>128</v>
      </c>
      <c r="H27" s="43">
        <f>Model!C7</f>
        <v>13.24</v>
      </c>
    </row>
    <row r="28" spans="2:8" x14ac:dyDescent="0.2">
      <c r="F28" t="s">
        <v>129</v>
      </c>
      <c r="H28" s="22">
        <f>H25/H27-1</f>
        <v>9.6884080974919407E-2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9572-F50C-2F48-9A1F-40BAF5E07EEA}">
  <dimension ref="A1:H9"/>
  <sheetViews>
    <sheetView tabSelected="1" workbookViewId="0">
      <selection activeCell="L36" sqref="L36"/>
    </sheetView>
  </sheetViews>
  <sheetFormatPr baseColWidth="10" defaultRowHeight="16" x14ac:dyDescent="0.2"/>
  <cols>
    <col min="1" max="1" width="32.5" customWidth="1"/>
    <col min="2" max="2" width="13.83203125" customWidth="1"/>
    <col min="7" max="7" width="11.5" bestFit="1" customWidth="1"/>
    <col min="8" max="8" width="11.5" customWidth="1"/>
    <col min="9" max="9" width="2" customWidth="1"/>
  </cols>
  <sheetData>
    <row r="1" spans="1:8" x14ac:dyDescent="0.2">
      <c r="B1" s="9">
        <v>2017</v>
      </c>
      <c r="C1" s="9">
        <v>2018</v>
      </c>
      <c r="D1" s="9">
        <v>2019</v>
      </c>
      <c r="E1" s="9">
        <v>2020</v>
      </c>
      <c r="F1" s="9">
        <v>2021</v>
      </c>
      <c r="G1" s="9">
        <v>2022</v>
      </c>
      <c r="H1" s="9">
        <v>2023</v>
      </c>
    </row>
    <row r="2" spans="1:8" x14ac:dyDescent="0.2">
      <c r="A2" s="9" t="s">
        <v>133</v>
      </c>
      <c r="B2" s="44">
        <f>108.4*1000</f>
        <v>108400</v>
      </c>
      <c r="C2" s="44">
        <v>159000</v>
      </c>
      <c r="D2" s="44">
        <v>239600</v>
      </c>
      <c r="E2" s="44">
        <v>303600</v>
      </c>
      <c r="F2" s="44">
        <v>516000</v>
      </c>
      <c r="G2" s="44">
        <v>767500</v>
      </c>
      <c r="H2" s="44">
        <v>970100</v>
      </c>
    </row>
    <row r="3" spans="1:8" x14ac:dyDescent="0.2">
      <c r="A3" s="9" t="s">
        <v>134</v>
      </c>
      <c r="B3" s="44">
        <v>218</v>
      </c>
      <c r="C3" s="44">
        <v>349</v>
      </c>
      <c r="D3" s="44">
        <v>534</v>
      </c>
      <c r="E3" s="44">
        <v>684</v>
      </c>
      <c r="F3" s="44">
        <v>1002</v>
      </c>
      <c r="G3" s="44">
        <v>1330</v>
      </c>
      <c r="H3" s="44">
        <v>1626</v>
      </c>
    </row>
    <row r="4" spans="1:8" x14ac:dyDescent="0.2">
      <c r="A4" t="s">
        <v>135</v>
      </c>
      <c r="B4" s="44">
        <v>872</v>
      </c>
      <c r="C4" s="44">
        <v>1444</v>
      </c>
      <c r="D4" s="44">
        <v>2373</v>
      </c>
      <c r="E4" s="44">
        <v>3294</v>
      </c>
      <c r="F4" s="44">
        <v>5525</v>
      </c>
      <c r="G4" s="44">
        <v>8271</v>
      </c>
      <c r="H4" s="44">
        <v>1082</v>
      </c>
    </row>
    <row r="5" spans="1:8" x14ac:dyDescent="0.2">
      <c r="A5" t="s">
        <v>139</v>
      </c>
      <c r="B5" s="46">
        <v>782</v>
      </c>
      <c r="C5" s="46">
        <v>1295</v>
      </c>
      <c r="D5" s="46">
        <v>2106</v>
      </c>
      <c r="E5" s="46">
        <v>2935</v>
      </c>
      <c r="F5" s="46">
        <v>4961</v>
      </c>
      <c r="G5" s="44">
        <v>7551</v>
      </c>
      <c r="H5" s="44">
        <v>148</v>
      </c>
    </row>
    <row r="6" spans="1:8" x14ac:dyDescent="0.2">
      <c r="A6" t="s">
        <v>140</v>
      </c>
      <c r="B6" s="46">
        <v>90</v>
      </c>
      <c r="C6" s="46">
        <v>149</v>
      </c>
      <c r="D6" s="46">
        <v>267</v>
      </c>
      <c r="E6" s="46">
        <v>359</v>
      </c>
      <c r="F6" s="46">
        <v>564</v>
      </c>
      <c r="G6" s="46">
        <v>720</v>
      </c>
      <c r="H6" s="46">
        <v>934</v>
      </c>
    </row>
    <row r="7" spans="1:8" x14ac:dyDescent="0.2">
      <c r="A7" t="s">
        <v>136</v>
      </c>
      <c r="B7" s="44">
        <v>93</v>
      </c>
      <c r="C7" s="44">
        <v>133</v>
      </c>
      <c r="D7" s="44">
        <v>176</v>
      </c>
      <c r="E7" s="44">
        <v>217</v>
      </c>
      <c r="F7" s="44">
        <v>290</v>
      </c>
      <c r="G7" s="44">
        <v>388</v>
      </c>
      <c r="H7" s="44">
        <v>461</v>
      </c>
    </row>
    <row r="8" spans="1:8" x14ac:dyDescent="0.2">
      <c r="A8" t="s">
        <v>137</v>
      </c>
      <c r="B8" s="44">
        <v>11</v>
      </c>
      <c r="C8" s="44">
        <v>11</v>
      </c>
      <c r="D8" s="44">
        <v>15</v>
      </c>
      <c r="E8" s="44">
        <v>19</v>
      </c>
      <c r="F8" s="44">
        <v>33</v>
      </c>
      <c r="G8" s="44">
        <v>55.7</v>
      </c>
      <c r="H8" s="44">
        <v>84</v>
      </c>
    </row>
    <row r="9" spans="1:8" x14ac:dyDescent="0.2">
      <c r="A9" t="s">
        <v>138</v>
      </c>
      <c r="B9" s="44">
        <v>36</v>
      </c>
      <c r="C9" s="44">
        <v>65</v>
      </c>
      <c r="D9" s="44">
        <v>93</v>
      </c>
      <c r="E9" s="44">
        <v>111</v>
      </c>
      <c r="F9" s="44">
        <v>147</v>
      </c>
      <c r="G9" s="44">
        <v>221.7</v>
      </c>
      <c r="H9" s="44">
        <v>237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BDC4-B0FD-E54B-B76E-44DB0ADF8410}">
  <dimension ref="B2:M49"/>
  <sheetViews>
    <sheetView topLeftCell="A4" workbookViewId="0">
      <selection activeCell="M35" sqref="M35"/>
    </sheetView>
  </sheetViews>
  <sheetFormatPr baseColWidth="10" defaultRowHeight="16" x14ac:dyDescent="0.2"/>
  <cols>
    <col min="1" max="1" width="4.33203125" customWidth="1"/>
    <col min="2" max="2" width="30.33203125" bestFit="1" customWidth="1"/>
    <col min="3" max="3" width="12.1640625" bestFit="1" customWidth="1"/>
    <col min="4" max="6" width="10.83203125" bestFit="1" customWidth="1"/>
    <col min="7" max="7" width="13" bestFit="1" customWidth="1"/>
    <col min="8" max="11" width="11.5" bestFit="1" customWidth="1"/>
    <col min="13" max="13" width="14" bestFit="1" customWidth="1"/>
  </cols>
  <sheetData>
    <row r="2" spans="2:11" ht="17" thickBot="1" x14ac:dyDescent="0.25">
      <c r="B2" s="5" t="s">
        <v>151</v>
      </c>
      <c r="C2" s="4"/>
      <c r="D2" s="4"/>
      <c r="E2" s="4"/>
      <c r="F2" s="4"/>
    </row>
    <row r="3" spans="2:11" ht="17" thickBot="1" x14ac:dyDescent="0.25">
      <c r="B3" s="50" t="s">
        <v>150</v>
      </c>
      <c r="C3" s="51">
        <v>2020</v>
      </c>
      <c r="D3" s="51">
        <v>2021</v>
      </c>
      <c r="E3" s="51">
        <v>2022</v>
      </c>
      <c r="F3" s="51">
        <v>2023</v>
      </c>
      <c r="G3" s="51">
        <v>2024</v>
      </c>
      <c r="H3" s="51">
        <v>2025</v>
      </c>
      <c r="I3" s="51">
        <v>2026</v>
      </c>
      <c r="J3" s="51">
        <v>2027</v>
      </c>
      <c r="K3" s="51">
        <v>2028</v>
      </c>
    </row>
    <row r="4" spans="2:11" x14ac:dyDescent="0.2">
      <c r="C4" s="9"/>
      <c r="D4" s="9"/>
      <c r="E4" s="9"/>
      <c r="F4" s="9"/>
      <c r="G4" s="9"/>
      <c r="H4" s="9"/>
      <c r="I4" s="9"/>
      <c r="J4" s="9"/>
      <c r="K4" s="9"/>
    </row>
    <row r="5" spans="2:11" x14ac:dyDescent="0.2">
      <c r="B5" s="9" t="s">
        <v>133</v>
      </c>
      <c r="C5" s="58">
        <v>303600</v>
      </c>
      <c r="D5" s="58">
        <v>516000</v>
      </c>
      <c r="E5" s="58">
        <v>767500</v>
      </c>
      <c r="F5" s="58">
        <v>970100</v>
      </c>
      <c r="G5" s="55">
        <f>F5*(1+G6)</f>
        <v>1224266.2</v>
      </c>
      <c r="H5" s="55">
        <f t="shared" ref="H5:K5" si="0">G5*(1+H6)</f>
        <v>1530332.75</v>
      </c>
      <c r="I5" s="55">
        <f t="shared" si="0"/>
        <v>1882309.2825</v>
      </c>
      <c r="J5" s="55">
        <f t="shared" si="0"/>
        <v>2258771.139</v>
      </c>
      <c r="K5" s="55">
        <f t="shared" si="0"/>
        <v>2597586.8098499998</v>
      </c>
    </row>
    <row r="6" spans="2:11" x14ac:dyDescent="0.2">
      <c r="B6" s="53" t="s">
        <v>38</v>
      </c>
      <c r="C6" s="52"/>
      <c r="D6" s="52">
        <f t="shared" ref="D6:F6" si="1">D5/C5-1</f>
        <v>0.69960474308300391</v>
      </c>
      <c r="E6" s="52">
        <f t="shared" si="1"/>
        <v>0.48740310077519378</v>
      </c>
      <c r="F6" s="52">
        <f t="shared" si="1"/>
        <v>0.26397394136807817</v>
      </c>
      <c r="G6" s="54">
        <v>0.26200000000000001</v>
      </c>
      <c r="H6" s="54">
        <v>0.25</v>
      </c>
      <c r="I6" s="54">
        <v>0.23</v>
      </c>
      <c r="J6" s="54">
        <v>0.2</v>
      </c>
      <c r="K6" s="54">
        <v>0.15</v>
      </c>
    </row>
    <row r="7" spans="2:11" x14ac:dyDescent="0.2">
      <c r="B7" s="9" t="s">
        <v>134</v>
      </c>
      <c r="C7" s="58">
        <v>684</v>
      </c>
      <c r="D7" s="58">
        <v>1002</v>
      </c>
      <c r="E7" s="58">
        <v>1330</v>
      </c>
      <c r="F7" s="58">
        <v>1626</v>
      </c>
      <c r="G7" s="55">
        <f>G13+G14+G16-G18+G20</f>
        <v>1993.380364352</v>
      </c>
      <c r="H7" s="55">
        <f t="shared" ref="H7:K7" si="2">H13+H14+H16-H18+H20</f>
        <v>2414.813473786</v>
      </c>
      <c r="I7" s="55">
        <f t="shared" si="2"/>
        <v>2872.2262812423751</v>
      </c>
      <c r="J7" s="55">
        <f t="shared" si="2"/>
        <v>3228.3147220897681</v>
      </c>
      <c r="K7" s="55">
        <f t="shared" si="2"/>
        <v>3601.6182155826004</v>
      </c>
    </row>
    <row r="8" spans="2:11" x14ac:dyDescent="0.2">
      <c r="B8" s="53" t="s">
        <v>38</v>
      </c>
      <c r="C8" s="52"/>
      <c r="D8" s="52">
        <f>D7/C7-1</f>
        <v>0.46491228070175428</v>
      </c>
      <c r="E8" s="52">
        <f t="shared" ref="E8:K8" si="3">E7/D7-1</f>
        <v>0.32734530938123751</v>
      </c>
      <c r="F8" s="52">
        <f t="shared" si="3"/>
        <v>0.22255639097744351</v>
      </c>
      <c r="G8" s="52">
        <f t="shared" si="3"/>
        <v>0.22594118348831493</v>
      </c>
      <c r="H8" s="52">
        <f t="shared" si="3"/>
        <v>0.21141630416882218</v>
      </c>
      <c r="I8" s="52">
        <f t="shared" si="3"/>
        <v>0.18941951932181023</v>
      </c>
      <c r="J8" s="52">
        <f t="shared" si="3"/>
        <v>0.12397645797369683</v>
      </c>
      <c r="K8" s="52">
        <f t="shared" si="3"/>
        <v>0.11563417003258714</v>
      </c>
    </row>
    <row r="9" spans="2:11" x14ac:dyDescent="0.2">
      <c r="B9" t="s">
        <v>135</v>
      </c>
      <c r="C9" s="58">
        <v>3294</v>
      </c>
      <c r="D9" s="58">
        <v>5525</v>
      </c>
      <c r="E9" s="58">
        <v>8271</v>
      </c>
      <c r="F9" s="58">
        <v>1082</v>
      </c>
      <c r="G9" s="55">
        <f>G5*G10</f>
        <v>1395.663468</v>
      </c>
      <c r="H9" s="55">
        <f t="shared" ref="H9:K9" si="4">H5*H10</f>
        <v>1729.2760074999999</v>
      </c>
      <c r="I9" s="55">
        <f t="shared" si="4"/>
        <v>2089.3633035749999</v>
      </c>
      <c r="J9" s="55">
        <f t="shared" si="4"/>
        <v>2349.1219845599999</v>
      </c>
      <c r="K9" s="55">
        <f t="shared" si="4"/>
        <v>2597.58680985</v>
      </c>
    </row>
    <row r="10" spans="2:11" x14ac:dyDescent="0.2">
      <c r="B10" s="53" t="s">
        <v>108</v>
      </c>
      <c r="C10" s="56">
        <f t="shared" ref="C10:F10" si="5">C9/C5</f>
        <v>1.0849802371541503E-2</v>
      </c>
      <c r="D10" s="56">
        <f t="shared" si="5"/>
        <v>1.0707364341085272E-2</v>
      </c>
      <c r="E10" s="56">
        <f t="shared" si="5"/>
        <v>1.0776547231270358E-2</v>
      </c>
      <c r="F10" s="56">
        <f t="shared" si="5"/>
        <v>1.1153489330996804E-3</v>
      </c>
      <c r="G10" s="57">
        <v>1.14E-3</v>
      </c>
      <c r="H10" s="57">
        <v>1.1299999999999999E-3</v>
      </c>
      <c r="I10" s="57">
        <v>1.1100000000000001E-3</v>
      </c>
      <c r="J10" s="57">
        <v>1.0399999999999999E-3</v>
      </c>
      <c r="K10" s="57">
        <v>1E-3</v>
      </c>
    </row>
    <row r="11" spans="2:11" x14ac:dyDescent="0.2">
      <c r="B11" t="s">
        <v>139</v>
      </c>
      <c r="C11" s="59">
        <v>2935</v>
      </c>
      <c r="D11" s="59">
        <v>4961</v>
      </c>
      <c r="E11" s="58">
        <v>7551</v>
      </c>
      <c r="F11" s="58">
        <v>148</v>
      </c>
      <c r="G11" s="16">
        <f>G12*G9</f>
        <v>189.81023164800001</v>
      </c>
      <c r="H11" s="16">
        <f t="shared" ref="H11:K11" si="6">H12*H9</f>
        <v>233.79811621399995</v>
      </c>
      <c r="I11" s="16">
        <f t="shared" si="6"/>
        <v>282.06404598262503</v>
      </c>
      <c r="J11" s="16">
        <f t="shared" si="6"/>
        <v>316.42673132023197</v>
      </c>
      <c r="K11" s="16">
        <f t="shared" si="6"/>
        <v>348.07663251990004</v>
      </c>
    </row>
    <row r="12" spans="2:11" x14ac:dyDescent="0.2">
      <c r="B12" s="53" t="s">
        <v>152</v>
      </c>
      <c r="C12" s="56">
        <f t="shared" ref="C12:F12" si="7">C11/C9</f>
        <v>0.8910139647844566</v>
      </c>
      <c r="D12" s="56">
        <f t="shared" si="7"/>
        <v>0.89791855203619908</v>
      </c>
      <c r="E12" s="56">
        <f t="shared" si="7"/>
        <v>0.91294885745375409</v>
      </c>
      <c r="F12" s="56">
        <f t="shared" si="7"/>
        <v>0.1367837338262477</v>
      </c>
      <c r="G12" s="57">
        <v>0.13600000000000001</v>
      </c>
      <c r="H12" s="57">
        <v>0.13519999999999999</v>
      </c>
      <c r="I12" s="57">
        <v>0.13500000000000001</v>
      </c>
      <c r="J12" s="57">
        <v>0.13469999999999999</v>
      </c>
      <c r="K12" s="57">
        <v>0.13400000000000001</v>
      </c>
    </row>
    <row r="13" spans="2:11" x14ac:dyDescent="0.2">
      <c r="B13" t="s">
        <v>140</v>
      </c>
      <c r="C13" s="59">
        <v>359</v>
      </c>
      <c r="D13" s="59">
        <v>564</v>
      </c>
      <c r="E13" s="59">
        <v>720</v>
      </c>
      <c r="F13" s="59">
        <v>934</v>
      </c>
      <c r="G13" s="55">
        <f>G9-G11</f>
        <v>1205.8532363519998</v>
      </c>
      <c r="H13" s="55">
        <f t="shared" ref="H13:K13" si="8">H9-H11</f>
        <v>1495.4778912859999</v>
      </c>
      <c r="I13" s="55">
        <f t="shared" si="8"/>
        <v>1807.2992575923749</v>
      </c>
      <c r="J13" s="55">
        <f t="shared" si="8"/>
        <v>2032.6952532397679</v>
      </c>
      <c r="K13" s="55">
        <f t="shared" si="8"/>
        <v>2249.5101773300999</v>
      </c>
    </row>
    <row r="14" spans="2:11" x14ac:dyDescent="0.2">
      <c r="B14" t="s">
        <v>136</v>
      </c>
      <c r="C14" s="58">
        <v>217</v>
      </c>
      <c r="D14" s="58">
        <v>290</v>
      </c>
      <c r="E14" s="58">
        <v>388</v>
      </c>
      <c r="F14" s="58">
        <v>461</v>
      </c>
      <c r="G14" s="16">
        <f>G5*G15</f>
        <v>538.67712800000004</v>
      </c>
      <c r="H14" s="16">
        <f t="shared" ref="H14:K14" si="9">H5*H15</f>
        <v>658.04308249999997</v>
      </c>
      <c r="I14" s="16">
        <f t="shared" si="9"/>
        <v>790.56989865000003</v>
      </c>
      <c r="J14" s="16">
        <f t="shared" si="9"/>
        <v>903.50845560000005</v>
      </c>
      <c r="K14" s="16">
        <f t="shared" si="9"/>
        <v>1039.03472394</v>
      </c>
    </row>
    <row r="15" spans="2:11" x14ac:dyDescent="0.2">
      <c r="B15" s="53" t="s">
        <v>108</v>
      </c>
      <c r="C15" s="56">
        <f t="shared" ref="C15:F15" si="10">C14/C5</f>
        <v>7.1475625823451915E-4</v>
      </c>
      <c r="D15" s="56">
        <f t="shared" si="10"/>
        <v>5.6201550387596896E-4</v>
      </c>
      <c r="E15" s="56">
        <f t="shared" si="10"/>
        <v>5.055374592833876E-4</v>
      </c>
      <c r="F15" s="56">
        <f t="shared" si="10"/>
        <v>4.7520874136686939E-4</v>
      </c>
      <c r="G15" s="57">
        <v>4.4000000000000002E-4</v>
      </c>
      <c r="H15" s="57">
        <v>4.2999999999999999E-4</v>
      </c>
      <c r="I15" s="57">
        <v>4.2000000000000002E-4</v>
      </c>
      <c r="J15" s="57">
        <v>4.0000000000000002E-4</v>
      </c>
      <c r="K15" s="57">
        <v>4.0000000000000002E-4</v>
      </c>
    </row>
    <row r="16" spans="2:11" x14ac:dyDescent="0.2">
      <c r="B16" t="s">
        <v>137</v>
      </c>
      <c r="C16" s="58">
        <v>19</v>
      </c>
      <c r="D16" s="58">
        <v>33</v>
      </c>
      <c r="E16" s="58">
        <v>55.7</v>
      </c>
      <c r="F16" s="58">
        <v>84</v>
      </c>
      <c r="G16" s="16">
        <f>F16*(1+G17)</f>
        <v>117.6</v>
      </c>
      <c r="H16" s="16">
        <f t="shared" ref="H16:K16" si="11">G16*(1+H17)</f>
        <v>152.88</v>
      </c>
      <c r="I16" s="16">
        <f t="shared" si="11"/>
        <v>183.45599999999999</v>
      </c>
      <c r="J16" s="16">
        <f t="shared" si="11"/>
        <v>201.80160000000001</v>
      </c>
      <c r="K16" s="16">
        <f t="shared" si="11"/>
        <v>211.89168000000001</v>
      </c>
    </row>
    <row r="17" spans="2:11" x14ac:dyDescent="0.2">
      <c r="B17" s="53" t="s">
        <v>38</v>
      </c>
      <c r="C17" s="56"/>
      <c r="D17" s="56">
        <f t="shared" ref="D17:F17" si="12">D16/C16-1</f>
        <v>0.73684210526315796</v>
      </c>
      <c r="E17" s="56">
        <f t="shared" si="12"/>
        <v>0.68787878787878798</v>
      </c>
      <c r="F17" s="56">
        <f t="shared" si="12"/>
        <v>0.50807899461400341</v>
      </c>
      <c r="G17" s="57">
        <v>0.4</v>
      </c>
      <c r="H17" s="57">
        <v>0.3</v>
      </c>
      <c r="I17" s="57">
        <v>0.2</v>
      </c>
      <c r="J17" s="57">
        <v>0.1</v>
      </c>
      <c r="K17" s="57">
        <v>0.05</v>
      </c>
    </row>
    <row r="18" spans="2:11" x14ac:dyDescent="0.2">
      <c r="B18" t="s">
        <v>13</v>
      </c>
      <c r="C18" s="58">
        <v>22</v>
      </c>
      <c r="D18" s="58">
        <v>33</v>
      </c>
      <c r="E18" s="58">
        <v>54.5</v>
      </c>
      <c r="F18" s="58">
        <v>89.5</v>
      </c>
      <c r="G18" s="16">
        <f>G16*(1-G19)</f>
        <v>117.6</v>
      </c>
      <c r="H18" s="16">
        <f t="shared" ref="H18:K18" si="13">H16*(1-H19)</f>
        <v>152.88</v>
      </c>
      <c r="I18" s="16">
        <f t="shared" si="13"/>
        <v>183.45599999999999</v>
      </c>
      <c r="J18" s="16">
        <f t="shared" si="13"/>
        <v>197.765568</v>
      </c>
      <c r="K18" s="16">
        <f t="shared" si="13"/>
        <v>201.29709600000001</v>
      </c>
    </row>
    <row r="19" spans="2:11" x14ac:dyDescent="0.2">
      <c r="B19" s="53" t="s">
        <v>153</v>
      </c>
      <c r="C19" s="56">
        <f>1-(C18/C16)</f>
        <v>-0.15789473684210531</v>
      </c>
      <c r="D19" s="56">
        <f t="shared" ref="D19:F19" si="14">1-(D18/D16)</f>
        <v>0</v>
      </c>
      <c r="E19" s="56">
        <f t="shared" si="14"/>
        <v>2.1543985637342944E-2</v>
      </c>
      <c r="F19" s="56">
        <f t="shared" si="14"/>
        <v>-6.5476190476190466E-2</v>
      </c>
      <c r="G19" s="57">
        <v>0</v>
      </c>
      <c r="H19" s="57">
        <v>0</v>
      </c>
      <c r="I19" s="57">
        <v>0</v>
      </c>
      <c r="J19" s="57">
        <v>0.02</v>
      </c>
      <c r="K19" s="57">
        <v>0.05</v>
      </c>
    </row>
    <row r="20" spans="2:11" x14ac:dyDescent="0.2">
      <c r="B20" t="s">
        <v>138</v>
      </c>
      <c r="C20" s="58">
        <v>111</v>
      </c>
      <c r="D20" s="58">
        <v>147</v>
      </c>
      <c r="E20" s="58">
        <v>221.7</v>
      </c>
      <c r="F20" s="58">
        <v>237</v>
      </c>
      <c r="G20" s="16">
        <f>F20*(1+G21)</f>
        <v>248.85000000000002</v>
      </c>
      <c r="H20" s="16">
        <f t="shared" ref="H20:K20" si="15">G20*(1+H21)</f>
        <v>261.29250000000002</v>
      </c>
      <c r="I20" s="16">
        <f t="shared" si="15"/>
        <v>274.35712500000005</v>
      </c>
      <c r="J20" s="16">
        <f t="shared" si="15"/>
        <v>288.07498125000006</v>
      </c>
      <c r="K20" s="16">
        <f t="shared" si="15"/>
        <v>302.47873031250009</v>
      </c>
    </row>
    <row r="21" spans="2:11" x14ac:dyDescent="0.2">
      <c r="B21" s="53" t="s">
        <v>38</v>
      </c>
      <c r="C21" s="56"/>
      <c r="D21" s="56">
        <f>D20/C20-1</f>
        <v>0.32432432432432434</v>
      </c>
      <c r="E21" s="56">
        <f t="shared" ref="E21:F21" si="16">E20/D20-1</f>
        <v>0.50816326530612232</v>
      </c>
      <c r="F21" s="56">
        <f t="shared" si="16"/>
        <v>6.9012178619756392E-2</v>
      </c>
      <c r="G21" s="57">
        <v>0.05</v>
      </c>
      <c r="H21" s="57">
        <v>0.05</v>
      </c>
      <c r="I21" s="57">
        <v>0.05</v>
      </c>
      <c r="J21" s="57">
        <v>0.05</v>
      </c>
      <c r="K21" s="57">
        <v>0.05</v>
      </c>
    </row>
    <row r="23" spans="2:11" ht="17" thickBot="1" x14ac:dyDescent="0.25">
      <c r="B23" s="5" t="s">
        <v>154</v>
      </c>
      <c r="C23" s="4"/>
      <c r="D23" s="4"/>
      <c r="E23" s="4"/>
      <c r="F23" s="4"/>
    </row>
    <row r="24" spans="2:11" ht="17" thickBot="1" x14ac:dyDescent="0.25">
      <c r="B24" s="50" t="s">
        <v>150</v>
      </c>
      <c r="C24" s="51">
        <v>2020</v>
      </c>
      <c r="D24" s="51">
        <v>2021</v>
      </c>
      <c r="E24" s="51">
        <v>2022</v>
      </c>
      <c r="F24" s="51">
        <v>2023</v>
      </c>
      <c r="G24" s="51">
        <v>2024</v>
      </c>
      <c r="H24" s="51">
        <v>2025</v>
      </c>
      <c r="I24" s="51">
        <v>2026</v>
      </c>
      <c r="J24" s="51">
        <v>2027</v>
      </c>
      <c r="K24" s="51">
        <v>2028</v>
      </c>
    </row>
    <row r="26" spans="2:11" x14ac:dyDescent="0.2">
      <c r="B26" t="s">
        <v>26</v>
      </c>
      <c r="C26" s="62">
        <v>261</v>
      </c>
      <c r="D26" s="62">
        <v>470</v>
      </c>
      <c r="E26" s="62">
        <v>564</v>
      </c>
      <c r="F26" s="62">
        <v>698</v>
      </c>
      <c r="G26" s="16">
        <f>G7*G27</f>
        <v>857.15355667135998</v>
      </c>
      <c r="H26" s="16">
        <f t="shared" ref="H26:K26" si="17">H7*H27</f>
        <v>1038.3697937279801</v>
      </c>
      <c r="I26" s="16">
        <f t="shared" si="17"/>
        <v>1263.779563746645</v>
      </c>
      <c r="J26" s="16">
        <f t="shared" si="17"/>
        <v>1452.7416249403957</v>
      </c>
      <c r="K26" s="16">
        <f t="shared" si="17"/>
        <v>1620.7281970121703</v>
      </c>
    </row>
    <row r="27" spans="2:11" x14ac:dyDescent="0.2">
      <c r="B27" s="53" t="s">
        <v>155</v>
      </c>
      <c r="C27" s="56">
        <f>C26/C7</f>
        <v>0.38157894736842107</v>
      </c>
      <c r="D27" s="56">
        <f t="shared" ref="D27:F27" si="18">D26/D7</f>
        <v>0.46906187624750501</v>
      </c>
      <c r="E27" s="56">
        <f t="shared" si="18"/>
        <v>0.42406015037593986</v>
      </c>
      <c r="F27" s="56">
        <f t="shared" si="18"/>
        <v>0.42927429274292744</v>
      </c>
      <c r="G27" s="57">
        <v>0.43</v>
      </c>
      <c r="H27" s="57">
        <v>0.43</v>
      </c>
      <c r="I27" s="57">
        <v>0.44</v>
      </c>
      <c r="J27" s="57">
        <v>0.45</v>
      </c>
      <c r="K27" s="57">
        <v>0.45</v>
      </c>
    </row>
    <row r="28" spans="2:11" x14ac:dyDescent="0.2">
      <c r="B28" s="60" t="s">
        <v>98</v>
      </c>
      <c r="C28" s="61">
        <v>264</v>
      </c>
      <c r="D28" s="61">
        <v>450</v>
      </c>
      <c r="E28" s="61">
        <v>511</v>
      </c>
      <c r="F28" s="61">
        <v>712</v>
      </c>
      <c r="G28" s="16">
        <f>G29*G7</f>
        <v>887.05426213663998</v>
      </c>
      <c r="H28" s="16">
        <f t="shared" ref="H28:K28" si="19">H29*H7</f>
        <v>1110.81419794156</v>
      </c>
      <c r="I28" s="16">
        <f t="shared" si="19"/>
        <v>1349.9463521839161</v>
      </c>
      <c r="J28" s="16">
        <f t="shared" si="19"/>
        <v>1565.7326402135375</v>
      </c>
      <c r="K28" s="16">
        <f t="shared" si="19"/>
        <v>1800.8091077913002</v>
      </c>
    </row>
    <row r="29" spans="2:11" x14ac:dyDescent="0.2">
      <c r="B29" s="53" t="s">
        <v>99</v>
      </c>
      <c r="C29" s="56">
        <f>C28/C7</f>
        <v>0.38596491228070173</v>
      </c>
      <c r="D29" s="56">
        <f t="shared" ref="D29:F29" si="20">D28/D7</f>
        <v>0.44910179640718562</v>
      </c>
      <c r="E29" s="56">
        <f t="shared" si="20"/>
        <v>0.38421052631578945</v>
      </c>
      <c r="F29" s="56">
        <f t="shared" si="20"/>
        <v>0.43788437884378845</v>
      </c>
      <c r="G29" s="57">
        <v>0.44500000000000001</v>
      </c>
      <c r="H29" s="57">
        <v>0.46</v>
      </c>
      <c r="I29" s="57">
        <v>0.47</v>
      </c>
      <c r="J29" s="57">
        <v>0.48499999999999999</v>
      </c>
      <c r="K29" s="57">
        <v>0.5</v>
      </c>
    </row>
    <row r="30" spans="2:11" x14ac:dyDescent="0.2">
      <c r="F30" s="16"/>
    </row>
    <row r="31" spans="2:11" x14ac:dyDescent="0.2">
      <c r="B31" s="63" t="s">
        <v>28</v>
      </c>
      <c r="C31" s="14">
        <v>30667599</v>
      </c>
      <c r="D31" s="14">
        <v>30675815</v>
      </c>
      <c r="E31" s="14">
        <v>31046029</v>
      </c>
      <c r="F31" s="14">
        <v>31156990</v>
      </c>
      <c r="G31" s="61">
        <f>F31*(1+G32)</f>
        <v>31312774.949999996</v>
      </c>
      <c r="H31" s="61">
        <f t="shared" ref="H31:K31" si="21">G31*(1+H32)</f>
        <v>31391056.887374993</v>
      </c>
      <c r="I31" s="61">
        <f t="shared" si="21"/>
        <v>31469534.52959343</v>
      </c>
      <c r="J31" s="61">
        <f t="shared" si="21"/>
        <v>31501004.06412302</v>
      </c>
      <c r="K31" s="61">
        <f t="shared" si="21"/>
        <v>31185994.02348179</v>
      </c>
    </row>
    <row r="32" spans="2:11" x14ac:dyDescent="0.2">
      <c r="B32" s="53" t="s">
        <v>156</v>
      </c>
      <c r="C32" s="56"/>
      <c r="D32" s="56">
        <f>D31/C31-1</f>
        <v>2.6790489858696809E-4</v>
      </c>
      <c r="E32" s="56">
        <f t="shared" ref="E32:F32" si="22">E31/D31-1</f>
        <v>1.2068595406511617E-2</v>
      </c>
      <c r="F32" s="56">
        <f t="shared" si="22"/>
        <v>3.5740802793169379E-3</v>
      </c>
      <c r="G32" s="57">
        <v>5.0000000000000001E-3</v>
      </c>
      <c r="H32" s="57">
        <v>2.5000000000000001E-3</v>
      </c>
      <c r="I32" s="57">
        <v>2.5000000000000001E-3</v>
      </c>
      <c r="J32" s="57">
        <v>1E-3</v>
      </c>
      <c r="K32" s="57">
        <v>-0.01</v>
      </c>
    </row>
    <row r="34" spans="2:13" x14ac:dyDescent="0.2">
      <c r="B34" t="s">
        <v>157</v>
      </c>
      <c r="C34" s="20">
        <f>C26/(C31/1000000)</f>
        <v>8.51061082414701</v>
      </c>
      <c r="D34" s="20">
        <f t="shared" ref="D34:K34" si="23">D26/(D31/1000000)</f>
        <v>15.321516315051451</v>
      </c>
      <c r="E34" s="20">
        <f t="shared" si="23"/>
        <v>18.16657454001605</v>
      </c>
      <c r="F34" s="20">
        <f t="shared" si="23"/>
        <v>22.402677537207541</v>
      </c>
      <c r="G34" s="20">
        <f t="shared" si="23"/>
        <v>27.373925116507763</v>
      </c>
      <c r="H34" s="20">
        <f t="shared" si="23"/>
        <v>33.0785228880139</v>
      </c>
      <c r="I34" s="20">
        <f t="shared" si="23"/>
        <v>40.158826072187608</v>
      </c>
      <c r="J34" s="20">
        <f t="shared" si="23"/>
        <v>46.117311752451265</v>
      </c>
      <c r="K34" s="20">
        <f t="shared" si="23"/>
        <v>51.969746283919235</v>
      </c>
    </row>
    <row r="36" spans="2:13" ht="17" thickBot="1" x14ac:dyDescent="0.25">
      <c r="B36" s="5" t="s">
        <v>158</v>
      </c>
      <c r="C36" s="4"/>
      <c r="D36" s="4"/>
      <c r="E36" s="4"/>
      <c r="F36" s="4"/>
    </row>
    <row r="37" spans="2:13" ht="17" thickBot="1" x14ac:dyDescent="0.25">
      <c r="B37" s="50" t="s">
        <v>150</v>
      </c>
      <c r="C37" s="51">
        <v>2020</v>
      </c>
      <c r="D37" s="51">
        <v>2021</v>
      </c>
      <c r="E37" s="51">
        <v>2022</v>
      </c>
      <c r="F37" s="51">
        <v>2023</v>
      </c>
      <c r="G37" s="51">
        <v>2024</v>
      </c>
      <c r="H37" s="51">
        <v>2025</v>
      </c>
      <c r="I37" s="51">
        <v>2026</v>
      </c>
      <c r="J37" s="51">
        <v>2027</v>
      </c>
      <c r="K37" s="51">
        <v>2028</v>
      </c>
      <c r="L37" s="64" t="s">
        <v>167</v>
      </c>
      <c r="M37" s="65" t="s">
        <v>168</v>
      </c>
    </row>
    <row r="38" spans="2:13" x14ac:dyDescent="0.2">
      <c r="L38" s="65"/>
      <c r="M38" s="65"/>
    </row>
    <row r="39" spans="2:13" x14ac:dyDescent="0.2">
      <c r="B39" t="s">
        <v>162</v>
      </c>
      <c r="C39" s="20">
        <f>15*C34</f>
        <v>127.65916236220515</v>
      </c>
      <c r="D39" s="20">
        <f t="shared" ref="D39:K39" si="24">15*D34</f>
        <v>229.82274472577177</v>
      </c>
      <c r="E39" s="20">
        <f t="shared" si="24"/>
        <v>272.49861810024078</v>
      </c>
      <c r="F39" s="20">
        <f t="shared" si="24"/>
        <v>336.04016305811314</v>
      </c>
      <c r="G39" s="20">
        <f t="shared" si="24"/>
        <v>410.60887674761648</v>
      </c>
      <c r="H39" s="20">
        <f t="shared" si="24"/>
        <v>496.17784332020852</v>
      </c>
      <c r="I39" s="20">
        <f t="shared" si="24"/>
        <v>602.38239108281414</v>
      </c>
      <c r="J39" s="20">
        <f t="shared" si="24"/>
        <v>691.75967628676892</v>
      </c>
      <c r="K39" s="20">
        <f t="shared" si="24"/>
        <v>779.54619425878855</v>
      </c>
      <c r="L39" s="66">
        <f>(K39/100)*1.08</f>
        <v>8.4190988979949175</v>
      </c>
      <c r="M39" s="67">
        <f>1-(13.24/L39)</f>
        <v>-0.57261485586696481</v>
      </c>
    </row>
    <row r="40" spans="2:13" x14ac:dyDescent="0.2">
      <c r="B40" t="s">
        <v>159</v>
      </c>
      <c r="C40" s="20">
        <f>20*C34</f>
        <v>170.21221648294019</v>
      </c>
      <c r="D40" s="20">
        <f t="shared" ref="D40:K40" si="25">20*D34</f>
        <v>306.43032630102903</v>
      </c>
      <c r="E40" s="20">
        <f t="shared" si="25"/>
        <v>363.33149080032103</v>
      </c>
      <c r="F40" s="20">
        <f t="shared" si="25"/>
        <v>448.05355074415081</v>
      </c>
      <c r="G40" s="20">
        <f t="shared" si="25"/>
        <v>547.47850233015527</v>
      </c>
      <c r="H40" s="20">
        <f t="shared" si="25"/>
        <v>661.57045776027803</v>
      </c>
      <c r="I40" s="20">
        <f t="shared" si="25"/>
        <v>803.17652144375211</v>
      </c>
      <c r="J40" s="20">
        <f t="shared" si="25"/>
        <v>922.34623504902527</v>
      </c>
      <c r="K40" s="20">
        <f t="shared" si="25"/>
        <v>1039.3949256783847</v>
      </c>
      <c r="L40" s="66">
        <f t="shared" ref="L40:L47" si="26">(K40/100)*1.08</f>
        <v>11.225465197326555</v>
      </c>
      <c r="M40" s="67">
        <f t="shared" ref="M40:M47" si="27">1-(13.24/L40)</f>
        <v>-0.17946114190022389</v>
      </c>
    </row>
    <row r="41" spans="2:13" x14ac:dyDescent="0.2">
      <c r="B41" t="s">
        <v>160</v>
      </c>
      <c r="C41" s="20">
        <f>25*C34</f>
        <v>212.76527060367525</v>
      </c>
      <c r="D41" s="20">
        <f t="shared" ref="D41:K41" si="28">25*D34</f>
        <v>383.03790787628628</v>
      </c>
      <c r="E41" s="20">
        <f t="shared" si="28"/>
        <v>454.16436350040124</v>
      </c>
      <c r="F41" s="20">
        <f t="shared" si="28"/>
        <v>560.06693843018854</v>
      </c>
      <c r="G41" s="20">
        <f t="shared" si="28"/>
        <v>684.34812791269405</v>
      </c>
      <c r="H41" s="20">
        <f t="shared" si="28"/>
        <v>826.96307220034748</v>
      </c>
      <c r="I41" s="20">
        <f t="shared" si="28"/>
        <v>1003.9706518046902</v>
      </c>
      <c r="J41" s="20">
        <f t="shared" si="28"/>
        <v>1152.9327938112817</v>
      </c>
      <c r="K41" s="20">
        <f t="shared" si="28"/>
        <v>1299.243657097981</v>
      </c>
      <c r="L41" s="66">
        <f t="shared" si="26"/>
        <v>14.031831496658196</v>
      </c>
      <c r="M41" s="67">
        <f t="shared" si="27"/>
        <v>5.6431086479821091E-2</v>
      </c>
    </row>
    <row r="42" spans="2:13" x14ac:dyDescent="0.2">
      <c r="B42" t="s">
        <v>161</v>
      </c>
      <c r="C42" s="20">
        <f>30*C34</f>
        <v>255.3183247244103</v>
      </c>
      <c r="D42" s="20">
        <f t="shared" ref="D42:K42" si="29">30*D34</f>
        <v>459.64548945154354</v>
      </c>
      <c r="E42" s="20">
        <f t="shared" si="29"/>
        <v>544.99723620048155</v>
      </c>
      <c r="F42" s="20">
        <f t="shared" si="29"/>
        <v>672.08032611622627</v>
      </c>
      <c r="G42" s="20">
        <f t="shared" si="29"/>
        <v>821.21775349523296</v>
      </c>
      <c r="H42" s="20">
        <f t="shared" si="29"/>
        <v>992.35568664041705</v>
      </c>
      <c r="I42" s="20">
        <f t="shared" si="29"/>
        <v>1204.7647821656283</v>
      </c>
      <c r="J42" s="20">
        <f t="shared" si="29"/>
        <v>1383.5193525735378</v>
      </c>
      <c r="K42" s="20">
        <f t="shared" si="29"/>
        <v>1559.0923885175771</v>
      </c>
      <c r="L42" s="66">
        <f t="shared" si="26"/>
        <v>16.838197795989835</v>
      </c>
      <c r="M42" s="67">
        <f t="shared" si="27"/>
        <v>0.21369257206651759</v>
      </c>
    </row>
    <row r="43" spans="2:13" x14ac:dyDescent="0.2">
      <c r="L43" s="66"/>
      <c r="M43" s="67"/>
    </row>
    <row r="44" spans="2:13" x14ac:dyDescent="0.2">
      <c r="B44" t="s">
        <v>163</v>
      </c>
      <c r="C44" s="20">
        <f>(15*C28)/(C31/1000000)</f>
        <v>129.12650905602359</v>
      </c>
      <c r="D44" s="20">
        <f t="shared" ref="D44:K44" si="30">(15*D28)/(D31/1000000)</f>
        <v>220.0430534608453</v>
      </c>
      <c r="E44" s="20">
        <f t="shared" si="30"/>
        <v>246.89147845606919</v>
      </c>
      <c r="F44" s="20">
        <f t="shared" si="30"/>
        <v>342.78022363520995</v>
      </c>
      <c r="G44" s="20">
        <f t="shared" si="30"/>
        <v>424.93244221555653</v>
      </c>
      <c r="H44" s="20">
        <f t="shared" si="30"/>
        <v>530.79490215650208</v>
      </c>
      <c r="I44" s="20">
        <f t="shared" si="30"/>
        <v>643.45391774755137</v>
      </c>
      <c r="J44" s="20">
        <f t="shared" si="30"/>
        <v>745.56320666462875</v>
      </c>
      <c r="K44" s="20">
        <f t="shared" si="30"/>
        <v>866.16243806532054</v>
      </c>
      <c r="L44" s="66">
        <f t="shared" si="26"/>
        <v>9.3545543311054615</v>
      </c>
      <c r="M44" s="67">
        <f t="shared" si="27"/>
        <v>-0.41535337028026875</v>
      </c>
    </row>
    <row r="45" spans="2:13" x14ac:dyDescent="0.2">
      <c r="B45" t="s">
        <v>164</v>
      </c>
      <c r="C45" s="20">
        <f>(20*C28)/(C31/1000000)</f>
        <v>172.1686787413648</v>
      </c>
      <c r="D45" s="20">
        <f t="shared" ref="D45:K45" si="31">(20*D28)/(D31/1000000)</f>
        <v>293.39073794779375</v>
      </c>
      <c r="E45" s="20">
        <f t="shared" si="31"/>
        <v>329.18863794142561</v>
      </c>
      <c r="F45" s="20">
        <f t="shared" si="31"/>
        <v>457.04029818027993</v>
      </c>
      <c r="G45" s="20">
        <f t="shared" si="31"/>
        <v>566.57658962074208</v>
      </c>
      <c r="H45" s="20">
        <f t="shared" si="31"/>
        <v>707.72653620866936</v>
      </c>
      <c r="I45" s="20">
        <f t="shared" si="31"/>
        <v>857.93855699673531</v>
      </c>
      <c r="J45" s="20">
        <f t="shared" si="31"/>
        <v>994.08427555283845</v>
      </c>
      <c r="K45" s="20">
        <f t="shared" si="31"/>
        <v>1154.8832507537609</v>
      </c>
      <c r="L45" s="66">
        <f t="shared" si="26"/>
        <v>12.472739108140619</v>
      </c>
      <c r="M45" s="67">
        <f t="shared" si="27"/>
        <v>-6.1515027710201231E-2</v>
      </c>
    </row>
    <row r="46" spans="2:13" x14ac:dyDescent="0.2">
      <c r="B46" t="s">
        <v>165</v>
      </c>
      <c r="C46" s="20">
        <f>(25*C28)/(C31/1000000)</f>
        <v>215.21084842670598</v>
      </c>
      <c r="D46" s="20">
        <f t="shared" ref="D46:K46" si="32">(25*D28)/(D31/1000000)</f>
        <v>366.73842243474218</v>
      </c>
      <c r="E46" s="20">
        <f t="shared" si="32"/>
        <v>411.48579742678203</v>
      </c>
      <c r="F46" s="20">
        <f t="shared" si="32"/>
        <v>571.30037272534992</v>
      </c>
      <c r="G46" s="20">
        <f t="shared" si="32"/>
        <v>708.22073702592763</v>
      </c>
      <c r="H46" s="20">
        <f t="shared" si="32"/>
        <v>884.65817026083676</v>
      </c>
      <c r="I46" s="20">
        <f t="shared" si="32"/>
        <v>1072.4231962459189</v>
      </c>
      <c r="J46" s="20">
        <f t="shared" si="32"/>
        <v>1242.6053444410479</v>
      </c>
      <c r="K46" s="20">
        <f t="shared" si="32"/>
        <v>1443.6040634422011</v>
      </c>
      <c r="L46" s="66">
        <f t="shared" si="26"/>
        <v>15.590923885175773</v>
      </c>
      <c r="M46" s="67">
        <f t="shared" si="27"/>
        <v>0.15078797783183895</v>
      </c>
    </row>
    <row r="47" spans="2:13" x14ac:dyDescent="0.2">
      <c r="B47" t="s">
        <v>166</v>
      </c>
      <c r="C47" s="20">
        <f>(30*C28)/(C31/1000000)</f>
        <v>258.25301811204719</v>
      </c>
      <c r="D47" s="20">
        <f t="shared" ref="D47:K47" si="33">(30*D28)/(D31/1000000)</f>
        <v>440.0861069216906</v>
      </c>
      <c r="E47" s="20">
        <f t="shared" si="33"/>
        <v>493.78295691213839</v>
      </c>
      <c r="F47" s="20">
        <f t="shared" si="33"/>
        <v>685.5604472704199</v>
      </c>
      <c r="G47" s="20">
        <f t="shared" si="33"/>
        <v>849.86488443111307</v>
      </c>
      <c r="H47" s="20">
        <f t="shared" si="33"/>
        <v>1061.5898043130042</v>
      </c>
      <c r="I47" s="20">
        <f t="shared" si="33"/>
        <v>1286.9078354951027</v>
      </c>
      <c r="J47" s="20">
        <f t="shared" si="33"/>
        <v>1491.1264133292575</v>
      </c>
      <c r="K47" s="20">
        <f t="shared" si="33"/>
        <v>1732.3248761306411</v>
      </c>
      <c r="L47" s="66">
        <f t="shared" si="26"/>
        <v>18.709108662210923</v>
      </c>
      <c r="M47" s="67">
        <f t="shared" si="27"/>
        <v>0.29232331485986562</v>
      </c>
    </row>
    <row r="49" spans="3:11" x14ac:dyDescent="0.2">
      <c r="C49" s="48"/>
      <c r="D49" s="48"/>
      <c r="E49" s="48"/>
      <c r="F49" s="48"/>
      <c r="G49" s="48"/>
      <c r="H49" s="48"/>
      <c r="I49" s="48"/>
      <c r="J49" s="48"/>
      <c r="K4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Valuation</vt:lpstr>
      <vt:lpstr>KPIs</vt:lpstr>
      <vt:lpstr>Simple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Anderson</dc:creator>
  <cp:lastModifiedBy>Ash Anderson</cp:lastModifiedBy>
  <dcterms:created xsi:type="dcterms:W3CDTF">2023-12-03T15:07:18Z</dcterms:created>
  <dcterms:modified xsi:type="dcterms:W3CDTF">2024-05-28T20:46:41Z</dcterms:modified>
</cp:coreProperties>
</file>